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 firstSheet="26" activeTab="34"/>
  </bookViews>
  <sheets>
    <sheet name="سلف العاملين بالمحل" sheetId="38" r:id="rId1"/>
    <sheet name="1" sheetId="1" r:id="rId2"/>
    <sheet name="2" sheetId="2" r:id="rId3"/>
    <sheet name="3" sheetId="3" r:id="rId4"/>
    <sheet name="4" sheetId="4" r:id="rId5"/>
    <sheet name="5" sheetId="5" r:id="rId6"/>
    <sheet name="6" sheetId="6" r:id="rId7"/>
    <sheet name="7" sheetId="7" r:id="rId8"/>
    <sheet name="8" sheetId="8" r:id="rId9"/>
    <sheet name="9" sheetId="9" r:id="rId10"/>
    <sheet name="10" sheetId="10" r:id="rId11"/>
    <sheet name="11" sheetId="12" r:id="rId12"/>
    <sheet name="12" sheetId="11" r:id="rId13"/>
    <sheet name="13" sheetId="13" r:id="rId14"/>
    <sheet name="14" sheetId="14" r:id="rId15"/>
    <sheet name="15" sheetId="15" r:id="rId16"/>
    <sheet name="16" sheetId="16" r:id="rId17"/>
    <sheet name="17" sheetId="17" r:id="rId18"/>
    <sheet name="18" sheetId="18" r:id="rId19"/>
    <sheet name="19" sheetId="19" r:id="rId20"/>
    <sheet name="20" sheetId="20" r:id="rId21"/>
    <sheet name="21" sheetId="21" r:id="rId22"/>
    <sheet name="22" sheetId="22" r:id="rId23"/>
    <sheet name="23" sheetId="23" r:id="rId24"/>
    <sheet name="24" sheetId="24" r:id="rId25"/>
    <sheet name="25" sheetId="25" r:id="rId26"/>
    <sheet name="26" sheetId="26" r:id="rId27"/>
    <sheet name="27" sheetId="27" r:id="rId28"/>
    <sheet name="28" sheetId="28" r:id="rId29"/>
    <sheet name="29" sheetId="29" r:id="rId30"/>
    <sheet name="30" sheetId="30" r:id="rId31"/>
    <sheet name="31" sheetId="31" r:id="rId32"/>
    <sheet name="الاجمالى" sheetId="32" r:id="rId33"/>
    <sheet name="اجل الجمعية " sheetId="39" r:id="rId34"/>
    <sheet name="مبيعات الطواجن " sheetId="40" r:id="rId35"/>
    <sheet name="مشتريات " sheetId="33" r:id="rId36"/>
    <sheet name="مودرين " sheetId="34" r:id="rId37"/>
    <sheet name="طماطم" sheetId="36" r:id="rId38"/>
  </sheets>
  <definedNames>
    <definedName name="_xlnm._FilterDatabase" localSheetId="3" hidden="1">'3'!$A$3:$T$39</definedName>
    <definedName name="_xlnm._FilterDatabase" localSheetId="4" hidden="1">'4'!$A$3:$T$39</definedName>
    <definedName name="_xlnm._FilterDatabase" localSheetId="0" hidden="1">'سلف العاملين بالمحل'!$B$2:$F$15</definedName>
    <definedName name="_xlnm.Print_Area" localSheetId="7">'7'!$A$1:$Q$49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39" l="1"/>
  <c r="U9" i="40" l="1"/>
  <c r="U8" i="40"/>
  <c r="U7" i="40"/>
  <c r="U6" i="40"/>
  <c r="F6" i="29"/>
  <c r="F7" i="29"/>
  <c r="F8" i="29"/>
  <c r="F9" i="29"/>
  <c r="F10" i="29"/>
  <c r="F11" i="29"/>
  <c r="F12" i="29"/>
  <c r="F13" i="29"/>
  <c r="F14" i="29"/>
  <c r="F15" i="29"/>
  <c r="F16" i="29"/>
  <c r="F17" i="29"/>
  <c r="F18" i="29"/>
  <c r="F19" i="29"/>
  <c r="F20" i="29"/>
  <c r="F21" i="29"/>
  <c r="F22" i="29"/>
  <c r="F23" i="29"/>
  <c r="F24" i="29"/>
  <c r="F25" i="29"/>
  <c r="F26" i="29"/>
  <c r="F27" i="29"/>
  <c r="F28" i="29"/>
  <c r="F29" i="29"/>
  <c r="F30" i="29"/>
  <c r="F31" i="29"/>
  <c r="F32" i="29"/>
  <c r="F33" i="29"/>
  <c r="F34" i="29"/>
  <c r="F35" i="29"/>
  <c r="F36" i="29"/>
  <c r="F37" i="29"/>
  <c r="F38" i="29"/>
  <c r="F5" i="25"/>
  <c r="T9" i="40"/>
  <c r="T8" i="40"/>
  <c r="T7" i="40"/>
  <c r="T6" i="40"/>
  <c r="D8" i="29"/>
  <c r="D8" i="28" l="1"/>
  <c r="L5" i="25"/>
  <c r="D8" i="25"/>
  <c r="L29" i="40"/>
  <c r="I29" i="40"/>
  <c r="F29" i="40"/>
  <c r="C29" i="40"/>
  <c r="P7" i="24"/>
  <c r="L5" i="24"/>
  <c r="D8" i="24"/>
  <c r="D7" i="24"/>
  <c r="D5" i="24"/>
  <c r="D4" i="24"/>
  <c r="F28" i="40" l="1"/>
  <c r="C28" i="40"/>
  <c r="F26" i="40"/>
  <c r="C26" i="40"/>
  <c r="R10" i="40"/>
  <c r="P5" i="22" l="1"/>
  <c r="L6" i="22"/>
  <c r="D8" i="22"/>
  <c r="L5" i="21"/>
  <c r="D8" i="21"/>
  <c r="D7" i="21"/>
  <c r="L7" i="23"/>
  <c r="D8" i="23"/>
  <c r="D7" i="23"/>
  <c r="D5" i="23"/>
  <c r="D4" i="23"/>
  <c r="L25" i="40" l="1"/>
  <c r="F25" i="40"/>
  <c r="C25" i="40"/>
  <c r="R9" i="40"/>
  <c r="L5" i="20" l="1"/>
  <c r="D8" i="20" l="1"/>
  <c r="D7" i="20"/>
  <c r="D5" i="20"/>
  <c r="D4" i="20"/>
  <c r="F24" i="40" l="1"/>
  <c r="C24" i="40"/>
  <c r="I23" i="40"/>
  <c r="F23" i="40"/>
  <c r="C23" i="40"/>
  <c r="L9" i="19"/>
  <c r="R8" i="19"/>
  <c r="D8" i="19"/>
  <c r="D5" i="19"/>
  <c r="D4" i="19"/>
  <c r="L7" i="18"/>
  <c r="D8" i="18"/>
  <c r="D7" i="18"/>
  <c r="D5" i="18"/>
  <c r="D4" i="18"/>
  <c r="F22" i="40" l="1"/>
  <c r="C22" i="40"/>
  <c r="L5" i="17" l="1"/>
  <c r="D8" i="17"/>
  <c r="D5" i="17"/>
  <c r="D4" i="17"/>
  <c r="R35" i="40" l="1"/>
  <c r="B39" i="40" s="1"/>
  <c r="R7" i="40"/>
  <c r="R6" i="40"/>
  <c r="R5" i="40"/>
  <c r="L21" i="40"/>
  <c r="F21" i="40"/>
  <c r="C21" i="40"/>
  <c r="L19" i="40"/>
  <c r="F19" i="40"/>
  <c r="C19" i="40"/>
  <c r="L18" i="40"/>
  <c r="I18" i="40"/>
  <c r="F18" i="40"/>
  <c r="C18" i="40"/>
  <c r="D8" i="16"/>
  <c r="P5" i="16" l="1"/>
  <c r="L6" i="16"/>
  <c r="D7" i="16"/>
  <c r="D5" i="16"/>
  <c r="D4" i="16"/>
  <c r="B69" i="32" l="1"/>
  <c r="B68" i="32"/>
  <c r="D8" i="13"/>
  <c r="G24" i="15"/>
  <c r="G23" i="15"/>
  <c r="G22" i="15"/>
  <c r="G21" i="15"/>
  <c r="G20" i="15"/>
  <c r="G19" i="15"/>
  <c r="G18" i="15"/>
  <c r="G17" i="15"/>
  <c r="G16" i="15"/>
  <c r="G15" i="15"/>
  <c r="G14" i="15"/>
  <c r="G13" i="15"/>
  <c r="G11" i="15"/>
  <c r="L5" i="15"/>
  <c r="P9" i="15"/>
  <c r="D8" i="15"/>
  <c r="D5" i="15"/>
  <c r="D4" i="15"/>
  <c r="L5" i="14"/>
  <c r="D8" i="11" l="1"/>
  <c r="D8" i="14"/>
  <c r="D7" i="14"/>
  <c r="D5" i="14"/>
  <c r="D4" i="14"/>
  <c r="B67" i="32" l="1"/>
  <c r="B66" i="32"/>
  <c r="B65" i="32"/>
  <c r="B64" i="32"/>
  <c r="L17" i="40" l="1"/>
  <c r="F17" i="40"/>
  <c r="C17" i="40"/>
  <c r="L16" i="40"/>
  <c r="F16" i="40"/>
  <c r="C16" i="40"/>
  <c r="L6" i="13"/>
  <c r="D7" i="13"/>
  <c r="D5" i="13"/>
  <c r="D4" i="13"/>
  <c r="L6" i="11"/>
  <c r="N12" i="11"/>
  <c r="P5" i="11"/>
  <c r="D7" i="11"/>
  <c r="D5" i="11"/>
  <c r="D4" i="11"/>
  <c r="L10" i="12"/>
  <c r="D8" i="12"/>
  <c r="F7" i="10" l="1"/>
  <c r="L6" i="10"/>
  <c r="D8" i="10"/>
  <c r="D22" i="34" l="1"/>
  <c r="D21" i="34"/>
  <c r="D20" i="34"/>
  <c r="F13" i="40" l="1"/>
  <c r="C13" i="40"/>
  <c r="C12" i="40"/>
  <c r="F12" i="40"/>
  <c r="I12" i="40"/>
  <c r="L12" i="40"/>
  <c r="B63" i="32"/>
  <c r="L5" i="9"/>
  <c r="D8" i="9"/>
  <c r="D7" i="9"/>
  <c r="D5" i="9"/>
  <c r="D4" i="9"/>
  <c r="B62" i="32"/>
  <c r="L6" i="8"/>
  <c r="D8" i="8"/>
  <c r="D7" i="8"/>
  <c r="D5" i="8"/>
  <c r="D4" i="8"/>
  <c r="L11" i="40" l="1"/>
  <c r="I11" i="40"/>
  <c r="F11" i="40"/>
  <c r="C11" i="40"/>
  <c r="F10" i="40"/>
  <c r="L10" i="40"/>
  <c r="C10" i="40"/>
  <c r="L9" i="40"/>
  <c r="F9" i="40"/>
  <c r="C9" i="40"/>
  <c r="L8" i="40"/>
  <c r="I8" i="40"/>
  <c r="I35" i="40" s="1"/>
  <c r="F8" i="40"/>
  <c r="C8" i="40"/>
  <c r="F7" i="40"/>
  <c r="C7" i="40"/>
  <c r="F6" i="40"/>
  <c r="C6" i="40"/>
  <c r="L35" i="40" l="1"/>
  <c r="C35" i="40"/>
  <c r="F5" i="40"/>
  <c r="F35" i="40" s="1"/>
  <c r="N6" i="40"/>
  <c r="N7" i="40"/>
  <c r="N8" i="40"/>
  <c r="N9" i="40"/>
  <c r="N10" i="40"/>
  <c r="N11" i="40"/>
  <c r="N12" i="40"/>
  <c r="N13" i="40"/>
  <c r="N14" i="40"/>
  <c r="N15" i="40"/>
  <c r="N16" i="40"/>
  <c r="N17" i="40"/>
  <c r="N18" i="40"/>
  <c r="N19" i="40"/>
  <c r="N20" i="40"/>
  <c r="N21" i="40"/>
  <c r="N22" i="40"/>
  <c r="N23" i="40"/>
  <c r="N24" i="40"/>
  <c r="N25" i="40"/>
  <c r="N26" i="40"/>
  <c r="N27" i="40"/>
  <c r="N28" i="40"/>
  <c r="N29" i="40"/>
  <c r="N30" i="40"/>
  <c r="N31" i="40"/>
  <c r="N32" i="40"/>
  <c r="N33" i="40"/>
  <c r="N34" i="40"/>
  <c r="K6" i="40"/>
  <c r="K7" i="40"/>
  <c r="K8" i="40"/>
  <c r="K9" i="40"/>
  <c r="K10" i="40"/>
  <c r="K11" i="40"/>
  <c r="K12" i="40"/>
  <c r="K13" i="40"/>
  <c r="K14" i="40"/>
  <c r="K15" i="40"/>
  <c r="K16" i="40"/>
  <c r="K17" i="40"/>
  <c r="K18" i="40"/>
  <c r="K19" i="40"/>
  <c r="K20" i="40"/>
  <c r="K21" i="40"/>
  <c r="K22" i="40"/>
  <c r="K23" i="40"/>
  <c r="K24" i="40"/>
  <c r="K25" i="40"/>
  <c r="K26" i="40"/>
  <c r="K27" i="40"/>
  <c r="K28" i="40"/>
  <c r="K29" i="40"/>
  <c r="K30" i="40"/>
  <c r="K31" i="40"/>
  <c r="K32" i="40"/>
  <c r="K33" i="40"/>
  <c r="K34" i="40"/>
  <c r="H6" i="40"/>
  <c r="H7" i="40"/>
  <c r="H8" i="40"/>
  <c r="H9" i="40"/>
  <c r="H10" i="40"/>
  <c r="H11" i="40"/>
  <c r="H12" i="40"/>
  <c r="H13" i="40"/>
  <c r="H14" i="40"/>
  <c r="H15" i="40"/>
  <c r="H16" i="40"/>
  <c r="H17" i="40"/>
  <c r="H18" i="40"/>
  <c r="H19" i="40"/>
  <c r="H20" i="40"/>
  <c r="H21" i="40"/>
  <c r="H22" i="40"/>
  <c r="H23" i="40"/>
  <c r="H24" i="40"/>
  <c r="H25" i="40"/>
  <c r="H26" i="40"/>
  <c r="H27" i="40"/>
  <c r="H28" i="40"/>
  <c r="H29" i="40"/>
  <c r="H30" i="40"/>
  <c r="H31" i="40"/>
  <c r="H32" i="40"/>
  <c r="H33" i="40"/>
  <c r="H34" i="40"/>
  <c r="E6" i="40"/>
  <c r="E7" i="40"/>
  <c r="E8" i="40"/>
  <c r="E9" i="40"/>
  <c r="E10" i="40"/>
  <c r="E11" i="40"/>
  <c r="E12" i="40"/>
  <c r="E13" i="40"/>
  <c r="E14" i="40"/>
  <c r="E15" i="40"/>
  <c r="E16" i="40"/>
  <c r="E17" i="40"/>
  <c r="E18" i="40"/>
  <c r="E19" i="40"/>
  <c r="E20" i="40"/>
  <c r="E21" i="40"/>
  <c r="E22" i="40"/>
  <c r="E23" i="40"/>
  <c r="E24" i="40"/>
  <c r="E25" i="40"/>
  <c r="E26" i="40"/>
  <c r="E27" i="40"/>
  <c r="E28" i="40"/>
  <c r="E29" i="40"/>
  <c r="E30" i="40"/>
  <c r="E31" i="40"/>
  <c r="E32" i="40"/>
  <c r="E33" i="40"/>
  <c r="E34" i="40"/>
  <c r="N5" i="40"/>
  <c r="K5" i="40"/>
  <c r="H5" i="40"/>
  <c r="E5" i="40"/>
  <c r="D5" i="7"/>
  <c r="B38" i="40" l="1"/>
  <c r="B40" i="40" s="1"/>
  <c r="K35" i="40"/>
  <c r="N35" i="40"/>
  <c r="H35" i="40"/>
  <c r="E35" i="40"/>
  <c r="B61" i="32"/>
  <c r="G25" i="7"/>
  <c r="G19" i="7"/>
  <c r="G18" i="7"/>
  <c r="F17" i="7"/>
  <c r="M10" i="7"/>
  <c r="L4" i="7"/>
  <c r="D8" i="7"/>
  <c r="D7" i="7"/>
  <c r="D4" i="7"/>
  <c r="D14" i="34" l="1"/>
  <c r="D13" i="34"/>
  <c r="D11" i="34"/>
  <c r="D10" i="34"/>
  <c r="D9" i="34"/>
  <c r="B60" i="32" l="1"/>
  <c r="P8" i="6"/>
  <c r="L7" i="6"/>
  <c r="D8" i="6"/>
  <c r="D7" i="6"/>
  <c r="D5" i="6"/>
  <c r="D4" i="6"/>
  <c r="B59" i="32" l="1"/>
  <c r="L7" i="5"/>
  <c r="D8" i="5"/>
  <c r="D7" i="5"/>
  <c r="D5" i="5"/>
  <c r="D4" i="5"/>
  <c r="L4" i="4" l="1"/>
  <c r="D8" i="4"/>
  <c r="D7" i="4"/>
  <c r="D5" i="4"/>
  <c r="D4" i="4"/>
  <c r="F43" i="32" l="1"/>
  <c r="F44" i="32"/>
  <c r="F45" i="32"/>
  <c r="F46" i="32"/>
  <c r="F47" i="32"/>
  <c r="F48" i="32"/>
  <c r="F42" i="32"/>
  <c r="B57" i="32"/>
  <c r="L6" i="3" l="1"/>
  <c r="D8" i="3"/>
  <c r="D7" i="3"/>
  <c r="D5" i="3"/>
  <c r="D4" i="3"/>
  <c r="B56" i="32" l="1"/>
  <c r="L6" i="2"/>
  <c r="D8" i="2"/>
  <c r="D7" i="2"/>
  <c r="D5" i="2"/>
  <c r="D4" i="2"/>
  <c r="D39" i="2"/>
  <c r="D56" i="32"/>
  <c r="D57" i="32" s="1"/>
  <c r="D55" i="32"/>
  <c r="B55" i="32"/>
  <c r="L7" i="1"/>
  <c r="D8" i="1"/>
  <c r="D7" i="1"/>
  <c r="D5" i="1"/>
  <c r="D4" i="1"/>
  <c r="G39" i="2" l="1"/>
  <c r="H39" i="2"/>
  <c r="I39" i="2"/>
  <c r="J39" i="2"/>
  <c r="K39" i="2"/>
  <c r="L39" i="2"/>
  <c r="M39" i="2"/>
  <c r="N39" i="2"/>
  <c r="O39" i="2"/>
  <c r="P39" i="2"/>
  <c r="Q39" i="2"/>
  <c r="R39" i="2"/>
  <c r="S39" i="2"/>
  <c r="T39" i="2"/>
  <c r="G39" i="3"/>
  <c r="H39" i="3"/>
  <c r="I39" i="3"/>
  <c r="J39" i="3"/>
  <c r="K39" i="3"/>
  <c r="L39" i="3"/>
  <c r="M39" i="3"/>
  <c r="N39" i="3"/>
  <c r="O39" i="3"/>
  <c r="P39" i="3"/>
  <c r="Q39" i="3"/>
  <c r="R39" i="3"/>
  <c r="S39" i="3"/>
  <c r="T39" i="3"/>
  <c r="G39" i="4"/>
  <c r="H39" i="4"/>
  <c r="I39" i="4"/>
  <c r="J39" i="4"/>
  <c r="K39" i="4"/>
  <c r="L39" i="4"/>
  <c r="M39" i="4"/>
  <c r="N39" i="4"/>
  <c r="O39" i="4"/>
  <c r="P39" i="4"/>
  <c r="Q39" i="4"/>
  <c r="R39" i="4"/>
  <c r="S39" i="4"/>
  <c r="T39" i="4"/>
  <c r="G39" i="5"/>
  <c r="H39" i="5"/>
  <c r="I39" i="5"/>
  <c r="J39" i="5"/>
  <c r="K39" i="5"/>
  <c r="L39" i="5"/>
  <c r="M39" i="5"/>
  <c r="N39" i="5"/>
  <c r="O39" i="5"/>
  <c r="P39" i="5"/>
  <c r="Q39" i="5"/>
  <c r="R39" i="5"/>
  <c r="S39" i="5"/>
  <c r="T39" i="5"/>
  <c r="G39" i="6"/>
  <c r="H39" i="6"/>
  <c r="I39" i="6"/>
  <c r="J39" i="6"/>
  <c r="K39" i="6"/>
  <c r="L39" i="6"/>
  <c r="M39" i="6"/>
  <c r="N39" i="6"/>
  <c r="O39" i="6"/>
  <c r="P39" i="6"/>
  <c r="Q39" i="6"/>
  <c r="R39" i="6"/>
  <c r="S39" i="6"/>
  <c r="T39" i="6"/>
  <c r="G39" i="7"/>
  <c r="H39" i="7"/>
  <c r="I39" i="7"/>
  <c r="J39" i="7"/>
  <c r="K39" i="7"/>
  <c r="L39" i="7"/>
  <c r="M39" i="7"/>
  <c r="N39" i="7"/>
  <c r="O39" i="7"/>
  <c r="P39" i="7"/>
  <c r="Q39" i="7"/>
  <c r="R39" i="7"/>
  <c r="S39" i="7"/>
  <c r="T39" i="7"/>
  <c r="G39" i="8"/>
  <c r="H39" i="8"/>
  <c r="I39" i="8"/>
  <c r="J39" i="8"/>
  <c r="K39" i="8"/>
  <c r="L39" i="8"/>
  <c r="M39" i="8"/>
  <c r="N39" i="8"/>
  <c r="O39" i="8"/>
  <c r="P39" i="8"/>
  <c r="Q39" i="8"/>
  <c r="R39" i="8"/>
  <c r="S39" i="8"/>
  <c r="T39" i="8"/>
  <c r="G39" i="9"/>
  <c r="H39" i="9"/>
  <c r="I39" i="9"/>
  <c r="J39" i="9"/>
  <c r="K39" i="9"/>
  <c r="L39" i="9"/>
  <c r="M39" i="9"/>
  <c r="N39" i="9"/>
  <c r="O39" i="9"/>
  <c r="P39" i="9"/>
  <c r="Q39" i="9"/>
  <c r="R39" i="9"/>
  <c r="S39" i="9"/>
  <c r="T39" i="9"/>
  <c r="G39" i="10"/>
  <c r="H39" i="10"/>
  <c r="I39" i="10"/>
  <c r="J39" i="10"/>
  <c r="K39" i="10"/>
  <c r="L39" i="10"/>
  <c r="M39" i="10"/>
  <c r="N39" i="10"/>
  <c r="O39" i="10"/>
  <c r="P39" i="10"/>
  <c r="Q39" i="10"/>
  <c r="R39" i="10"/>
  <c r="S39" i="10"/>
  <c r="T39" i="10"/>
  <c r="G39" i="12"/>
  <c r="H39" i="12"/>
  <c r="I39" i="12"/>
  <c r="J39" i="12"/>
  <c r="K39" i="12"/>
  <c r="L39" i="12"/>
  <c r="M39" i="12"/>
  <c r="N39" i="12"/>
  <c r="O39" i="12"/>
  <c r="P39" i="12"/>
  <c r="Q39" i="12"/>
  <c r="R39" i="12"/>
  <c r="S39" i="12"/>
  <c r="T39" i="12"/>
  <c r="G39" i="11"/>
  <c r="H39" i="11"/>
  <c r="I39" i="11"/>
  <c r="J39" i="11"/>
  <c r="K39" i="11"/>
  <c r="L39" i="11"/>
  <c r="M39" i="11"/>
  <c r="N39" i="11"/>
  <c r="O39" i="11"/>
  <c r="P39" i="11"/>
  <c r="Q39" i="11"/>
  <c r="R39" i="11"/>
  <c r="S39" i="11"/>
  <c r="T39" i="11"/>
  <c r="G39" i="13"/>
  <c r="H39" i="13"/>
  <c r="I39" i="13"/>
  <c r="J39" i="13"/>
  <c r="K39" i="13"/>
  <c r="L39" i="13"/>
  <c r="M39" i="13"/>
  <c r="N39" i="13"/>
  <c r="O39" i="13"/>
  <c r="P39" i="13"/>
  <c r="Q39" i="13"/>
  <c r="R39" i="13"/>
  <c r="S39" i="13"/>
  <c r="T39" i="13"/>
  <c r="G39" i="14"/>
  <c r="H39" i="14"/>
  <c r="I39" i="14"/>
  <c r="J39" i="14"/>
  <c r="K39" i="14"/>
  <c r="L39" i="14"/>
  <c r="M39" i="14"/>
  <c r="N39" i="14"/>
  <c r="O39" i="14"/>
  <c r="P39" i="14"/>
  <c r="Q39" i="14"/>
  <c r="R39" i="14"/>
  <c r="S39" i="14"/>
  <c r="T39" i="14"/>
  <c r="G39" i="15"/>
  <c r="H39" i="15"/>
  <c r="I39" i="15"/>
  <c r="J39" i="15"/>
  <c r="K39" i="15"/>
  <c r="L39" i="15"/>
  <c r="M39" i="15"/>
  <c r="N39" i="15"/>
  <c r="O39" i="15"/>
  <c r="P39" i="15"/>
  <c r="Q39" i="15"/>
  <c r="R39" i="15"/>
  <c r="S39" i="15"/>
  <c r="T39" i="15"/>
  <c r="G39" i="16"/>
  <c r="H39" i="16"/>
  <c r="I39" i="16"/>
  <c r="J39" i="16"/>
  <c r="K39" i="16"/>
  <c r="L39" i="16"/>
  <c r="M39" i="16"/>
  <c r="N39" i="16"/>
  <c r="O39" i="16"/>
  <c r="P39" i="16"/>
  <c r="Q39" i="16"/>
  <c r="R39" i="16"/>
  <c r="S39" i="16"/>
  <c r="T39" i="16"/>
  <c r="G39" i="17"/>
  <c r="H39" i="17"/>
  <c r="I39" i="17"/>
  <c r="J39" i="17"/>
  <c r="K39" i="17"/>
  <c r="L39" i="17"/>
  <c r="M39" i="17"/>
  <c r="N39" i="17"/>
  <c r="O39" i="17"/>
  <c r="P39" i="17"/>
  <c r="Q39" i="17"/>
  <c r="R39" i="17"/>
  <c r="S39" i="17"/>
  <c r="T39" i="17"/>
  <c r="G39" i="18"/>
  <c r="H39" i="18"/>
  <c r="I39" i="18"/>
  <c r="J39" i="18"/>
  <c r="K39" i="18"/>
  <c r="L39" i="18"/>
  <c r="M39" i="18"/>
  <c r="N39" i="18"/>
  <c r="O39" i="18"/>
  <c r="P39" i="18"/>
  <c r="Q39" i="18"/>
  <c r="R39" i="18"/>
  <c r="S39" i="18"/>
  <c r="T39" i="18"/>
  <c r="G39" i="19"/>
  <c r="H39" i="19"/>
  <c r="I39" i="19"/>
  <c r="J39" i="19"/>
  <c r="K39" i="19"/>
  <c r="L39" i="19"/>
  <c r="M39" i="19"/>
  <c r="N39" i="19"/>
  <c r="O39" i="19"/>
  <c r="P39" i="19"/>
  <c r="Q39" i="19"/>
  <c r="R39" i="19"/>
  <c r="S39" i="19"/>
  <c r="T39" i="19"/>
  <c r="G39" i="20"/>
  <c r="H39" i="20"/>
  <c r="I39" i="20"/>
  <c r="J39" i="20"/>
  <c r="K39" i="20"/>
  <c r="L39" i="20"/>
  <c r="M39" i="20"/>
  <c r="N39" i="20"/>
  <c r="O39" i="20"/>
  <c r="P39" i="20"/>
  <c r="Q39" i="20"/>
  <c r="R39" i="20"/>
  <c r="S39" i="20"/>
  <c r="T39" i="20"/>
  <c r="G39" i="21"/>
  <c r="H39" i="21"/>
  <c r="I39" i="21"/>
  <c r="J39" i="21"/>
  <c r="K39" i="21"/>
  <c r="L39" i="21"/>
  <c r="M39" i="21"/>
  <c r="N39" i="21"/>
  <c r="O39" i="21"/>
  <c r="P39" i="21"/>
  <c r="Q39" i="21"/>
  <c r="R39" i="21"/>
  <c r="S39" i="21"/>
  <c r="T39" i="21"/>
  <c r="G39" i="22"/>
  <c r="H39" i="22"/>
  <c r="I39" i="22"/>
  <c r="J39" i="22"/>
  <c r="K39" i="22"/>
  <c r="L39" i="22"/>
  <c r="M39" i="22"/>
  <c r="N39" i="22"/>
  <c r="O39" i="22"/>
  <c r="P39" i="22"/>
  <c r="Q39" i="22"/>
  <c r="R39" i="22"/>
  <c r="S39" i="22"/>
  <c r="T39" i="22"/>
  <c r="G39" i="23"/>
  <c r="H39" i="23"/>
  <c r="I39" i="23"/>
  <c r="J39" i="23"/>
  <c r="K39" i="23"/>
  <c r="L39" i="23"/>
  <c r="M39" i="23"/>
  <c r="N39" i="23"/>
  <c r="O39" i="23"/>
  <c r="P39" i="23"/>
  <c r="Q39" i="23"/>
  <c r="R39" i="23"/>
  <c r="S39" i="23"/>
  <c r="T39" i="23"/>
  <c r="G39" i="24"/>
  <c r="H39" i="24"/>
  <c r="I39" i="24"/>
  <c r="J39" i="24"/>
  <c r="K39" i="24"/>
  <c r="L39" i="24"/>
  <c r="M39" i="24"/>
  <c r="N39" i="24"/>
  <c r="O39" i="24"/>
  <c r="P39" i="24"/>
  <c r="Q39" i="24"/>
  <c r="R39" i="24"/>
  <c r="S39" i="24"/>
  <c r="T39" i="24"/>
  <c r="G39" i="25"/>
  <c r="H39" i="25"/>
  <c r="I39" i="25"/>
  <c r="J39" i="25"/>
  <c r="K39" i="25"/>
  <c r="L39" i="25"/>
  <c r="M39" i="25"/>
  <c r="N39" i="25"/>
  <c r="O39" i="25"/>
  <c r="P39" i="25"/>
  <c r="Q39" i="25"/>
  <c r="R39" i="25"/>
  <c r="S39" i="25"/>
  <c r="T39" i="25"/>
  <c r="G39" i="26"/>
  <c r="H39" i="26"/>
  <c r="I39" i="26"/>
  <c r="J39" i="26"/>
  <c r="K39" i="26"/>
  <c r="L39" i="26"/>
  <c r="M39" i="26"/>
  <c r="N39" i="26"/>
  <c r="O39" i="26"/>
  <c r="P39" i="26"/>
  <c r="Q39" i="26"/>
  <c r="R39" i="26"/>
  <c r="S39" i="26"/>
  <c r="T39" i="26"/>
  <c r="G39" i="27"/>
  <c r="H39" i="27"/>
  <c r="I39" i="27"/>
  <c r="J39" i="27"/>
  <c r="K39" i="27"/>
  <c r="L39" i="27"/>
  <c r="M39" i="27"/>
  <c r="N39" i="27"/>
  <c r="O39" i="27"/>
  <c r="P39" i="27"/>
  <c r="Q39" i="27"/>
  <c r="R39" i="27"/>
  <c r="S39" i="27"/>
  <c r="T39" i="27"/>
  <c r="G39" i="28"/>
  <c r="H39" i="28"/>
  <c r="I39" i="28"/>
  <c r="J39" i="28"/>
  <c r="K39" i="28"/>
  <c r="L39" i="28"/>
  <c r="M39" i="28"/>
  <c r="N39" i="28"/>
  <c r="O39" i="28"/>
  <c r="P39" i="28"/>
  <c r="Q39" i="28"/>
  <c r="R39" i="28"/>
  <c r="S39" i="28"/>
  <c r="T39" i="28"/>
  <c r="G39" i="29"/>
  <c r="H39" i="29"/>
  <c r="I39" i="29"/>
  <c r="J39" i="29"/>
  <c r="K39" i="29"/>
  <c r="L39" i="29"/>
  <c r="M39" i="29"/>
  <c r="N39" i="29"/>
  <c r="O39" i="29"/>
  <c r="P39" i="29"/>
  <c r="Q39" i="29"/>
  <c r="R39" i="29"/>
  <c r="S39" i="29"/>
  <c r="T39" i="29"/>
  <c r="G39" i="30"/>
  <c r="H39" i="30"/>
  <c r="I39" i="30"/>
  <c r="J39" i="30"/>
  <c r="K39" i="30"/>
  <c r="L39" i="30"/>
  <c r="M39" i="30"/>
  <c r="N39" i="30"/>
  <c r="O39" i="30"/>
  <c r="P39" i="30"/>
  <c r="Q39" i="30"/>
  <c r="R39" i="30"/>
  <c r="S39" i="30"/>
  <c r="T39" i="30"/>
  <c r="G39" i="31"/>
  <c r="H39" i="31"/>
  <c r="I39" i="31"/>
  <c r="J39" i="31"/>
  <c r="K39" i="31"/>
  <c r="L39" i="31"/>
  <c r="M39" i="31"/>
  <c r="N39" i="31"/>
  <c r="O39" i="31"/>
  <c r="P39" i="31"/>
  <c r="Q39" i="31"/>
  <c r="R39" i="31"/>
  <c r="S39" i="31"/>
  <c r="T39" i="31"/>
  <c r="G39" i="1"/>
  <c r="H39" i="1"/>
  <c r="I39" i="1"/>
  <c r="J39" i="1"/>
  <c r="K39" i="1"/>
  <c r="L39" i="1"/>
  <c r="M39" i="1"/>
  <c r="N39" i="1"/>
  <c r="O39" i="1"/>
  <c r="P39" i="1"/>
  <c r="Q39" i="1"/>
  <c r="R39" i="1"/>
  <c r="S39" i="1"/>
  <c r="T39" i="1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5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6" i="7"/>
  <c r="F7" i="7"/>
  <c r="F8" i="7"/>
  <c r="F9" i="7"/>
  <c r="F10" i="7"/>
  <c r="F11" i="7"/>
  <c r="F12" i="7"/>
  <c r="F13" i="7"/>
  <c r="F14" i="7"/>
  <c r="F15" i="7"/>
  <c r="F16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6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F37" i="8"/>
  <c r="F38" i="8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8" i="10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27" i="10"/>
  <c r="F28" i="10"/>
  <c r="F29" i="10"/>
  <c r="F30" i="10"/>
  <c r="F31" i="10"/>
  <c r="F32" i="10"/>
  <c r="F33" i="10"/>
  <c r="F34" i="10"/>
  <c r="F35" i="10"/>
  <c r="F36" i="10"/>
  <c r="F37" i="10"/>
  <c r="F38" i="10"/>
  <c r="F6" i="12"/>
  <c r="F7" i="12"/>
  <c r="F8" i="12"/>
  <c r="F9" i="12"/>
  <c r="F10" i="12"/>
  <c r="F11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30" i="12"/>
  <c r="F31" i="12"/>
  <c r="F32" i="12"/>
  <c r="F33" i="12"/>
  <c r="F34" i="12"/>
  <c r="F35" i="12"/>
  <c r="F36" i="12"/>
  <c r="F37" i="12"/>
  <c r="F38" i="12"/>
  <c r="F6" i="11"/>
  <c r="F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7" i="13"/>
  <c r="F8" i="13"/>
  <c r="F9" i="13"/>
  <c r="F10" i="13"/>
  <c r="F11" i="13"/>
  <c r="F12" i="13"/>
  <c r="F13" i="13"/>
  <c r="F14" i="13"/>
  <c r="F15" i="13"/>
  <c r="F16" i="13"/>
  <c r="F17" i="13"/>
  <c r="F18" i="13"/>
  <c r="F19" i="13"/>
  <c r="F20" i="13"/>
  <c r="F21" i="13"/>
  <c r="F22" i="13"/>
  <c r="F23" i="13"/>
  <c r="F24" i="13"/>
  <c r="F25" i="13"/>
  <c r="F26" i="13"/>
  <c r="F27" i="13"/>
  <c r="F28" i="13"/>
  <c r="F29" i="13"/>
  <c r="F30" i="13"/>
  <c r="F31" i="13"/>
  <c r="F32" i="13"/>
  <c r="F33" i="13"/>
  <c r="F34" i="13"/>
  <c r="F35" i="13"/>
  <c r="F36" i="13"/>
  <c r="F37" i="13"/>
  <c r="F38" i="13"/>
  <c r="F6" i="14"/>
  <c r="F7" i="14"/>
  <c r="F8" i="14"/>
  <c r="F9" i="14"/>
  <c r="F10" i="14"/>
  <c r="F11" i="14"/>
  <c r="F12" i="14"/>
  <c r="F13" i="14"/>
  <c r="F14" i="14"/>
  <c r="F15" i="14"/>
  <c r="F16" i="14"/>
  <c r="F17" i="14"/>
  <c r="F18" i="14"/>
  <c r="F19" i="14"/>
  <c r="F20" i="14"/>
  <c r="F21" i="14"/>
  <c r="F22" i="14"/>
  <c r="F23" i="14"/>
  <c r="F24" i="14"/>
  <c r="F25" i="14"/>
  <c r="F26" i="14"/>
  <c r="F27" i="14"/>
  <c r="F28" i="14"/>
  <c r="F29" i="14"/>
  <c r="F30" i="14"/>
  <c r="F31" i="14"/>
  <c r="F32" i="14"/>
  <c r="F33" i="14"/>
  <c r="F34" i="14"/>
  <c r="F35" i="14"/>
  <c r="F36" i="14"/>
  <c r="F37" i="14"/>
  <c r="F38" i="14"/>
  <c r="F5" i="15"/>
  <c r="F7" i="15"/>
  <c r="F8" i="15"/>
  <c r="F9" i="15"/>
  <c r="F10" i="15"/>
  <c r="F11" i="15"/>
  <c r="F12" i="15"/>
  <c r="F13" i="15"/>
  <c r="F14" i="15"/>
  <c r="F15" i="15"/>
  <c r="F16" i="15"/>
  <c r="F17" i="15"/>
  <c r="F18" i="15"/>
  <c r="F19" i="15"/>
  <c r="F20" i="15"/>
  <c r="F21" i="15"/>
  <c r="F22" i="15"/>
  <c r="F23" i="15"/>
  <c r="F24" i="15"/>
  <c r="F25" i="15"/>
  <c r="F26" i="15"/>
  <c r="F27" i="15"/>
  <c r="F28" i="15"/>
  <c r="F29" i="15"/>
  <c r="F30" i="15"/>
  <c r="F31" i="15"/>
  <c r="F32" i="15"/>
  <c r="F33" i="15"/>
  <c r="F34" i="15"/>
  <c r="F35" i="15"/>
  <c r="F36" i="15"/>
  <c r="F37" i="15"/>
  <c r="F38" i="15"/>
  <c r="F6" i="16"/>
  <c r="F7" i="16"/>
  <c r="F8" i="16"/>
  <c r="F9" i="16"/>
  <c r="F10" i="16"/>
  <c r="F11" i="16"/>
  <c r="F12" i="16"/>
  <c r="F13" i="16"/>
  <c r="F14" i="16"/>
  <c r="F15" i="16"/>
  <c r="F16" i="16"/>
  <c r="F17" i="16"/>
  <c r="F18" i="16"/>
  <c r="F19" i="16"/>
  <c r="F20" i="16"/>
  <c r="F21" i="16"/>
  <c r="F22" i="16"/>
  <c r="F23" i="16"/>
  <c r="F24" i="16"/>
  <c r="F25" i="16"/>
  <c r="F26" i="16"/>
  <c r="F27" i="16"/>
  <c r="F28" i="16"/>
  <c r="F29" i="16"/>
  <c r="F30" i="16"/>
  <c r="F31" i="16"/>
  <c r="F32" i="16"/>
  <c r="F33" i="16"/>
  <c r="F34" i="16"/>
  <c r="F35" i="16"/>
  <c r="F36" i="16"/>
  <c r="F37" i="16"/>
  <c r="F38" i="16"/>
  <c r="F6" i="17"/>
  <c r="F7" i="17"/>
  <c r="F8" i="17"/>
  <c r="F9" i="17"/>
  <c r="F10" i="17"/>
  <c r="F11" i="17"/>
  <c r="F12" i="17"/>
  <c r="F13" i="17"/>
  <c r="F14" i="17"/>
  <c r="F15" i="17"/>
  <c r="F16" i="17"/>
  <c r="F17" i="17"/>
  <c r="F18" i="17"/>
  <c r="F19" i="17"/>
  <c r="F20" i="17"/>
  <c r="F21" i="17"/>
  <c r="F22" i="17"/>
  <c r="F23" i="17"/>
  <c r="F24" i="17"/>
  <c r="F25" i="17"/>
  <c r="F26" i="17"/>
  <c r="F27" i="17"/>
  <c r="F28" i="17"/>
  <c r="F29" i="17"/>
  <c r="F30" i="17"/>
  <c r="F31" i="17"/>
  <c r="F32" i="17"/>
  <c r="F33" i="17"/>
  <c r="F34" i="17"/>
  <c r="F35" i="17"/>
  <c r="F36" i="17"/>
  <c r="F37" i="17"/>
  <c r="F38" i="17"/>
  <c r="F5" i="18"/>
  <c r="F6" i="18"/>
  <c r="F7" i="18"/>
  <c r="F8" i="18"/>
  <c r="F9" i="18"/>
  <c r="F10" i="18"/>
  <c r="F11" i="18"/>
  <c r="F12" i="18"/>
  <c r="F13" i="18"/>
  <c r="F14" i="18"/>
  <c r="F15" i="18"/>
  <c r="F16" i="18"/>
  <c r="F17" i="18"/>
  <c r="F18" i="18"/>
  <c r="F19" i="18"/>
  <c r="F20" i="18"/>
  <c r="F21" i="18"/>
  <c r="F22" i="18"/>
  <c r="F23" i="18"/>
  <c r="F24" i="18"/>
  <c r="F25" i="18"/>
  <c r="F26" i="18"/>
  <c r="F27" i="18"/>
  <c r="F28" i="18"/>
  <c r="F29" i="18"/>
  <c r="F30" i="18"/>
  <c r="F31" i="18"/>
  <c r="F32" i="18"/>
  <c r="F33" i="18"/>
  <c r="F34" i="18"/>
  <c r="F35" i="18"/>
  <c r="F36" i="18"/>
  <c r="F37" i="18"/>
  <c r="F38" i="18"/>
  <c r="F5" i="19"/>
  <c r="F7" i="19"/>
  <c r="F8" i="19"/>
  <c r="F9" i="19"/>
  <c r="F10" i="19"/>
  <c r="F11" i="19"/>
  <c r="F12" i="19"/>
  <c r="F13" i="19"/>
  <c r="F14" i="19"/>
  <c r="F15" i="19"/>
  <c r="F16" i="19"/>
  <c r="F17" i="19"/>
  <c r="F18" i="19"/>
  <c r="F19" i="19"/>
  <c r="F20" i="19"/>
  <c r="F21" i="19"/>
  <c r="F22" i="19"/>
  <c r="F23" i="19"/>
  <c r="F24" i="19"/>
  <c r="F25" i="19"/>
  <c r="F26" i="19"/>
  <c r="F27" i="19"/>
  <c r="F28" i="19"/>
  <c r="F29" i="19"/>
  <c r="F30" i="19"/>
  <c r="F31" i="19"/>
  <c r="F32" i="19"/>
  <c r="F33" i="19"/>
  <c r="F34" i="19"/>
  <c r="F35" i="19"/>
  <c r="F36" i="19"/>
  <c r="F37" i="19"/>
  <c r="F38" i="19"/>
  <c r="F6" i="20"/>
  <c r="F7" i="20"/>
  <c r="F8" i="20"/>
  <c r="F9" i="20"/>
  <c r="F10" i="20"/>
  <c r="F11" i="20"/>
  <c r="F12" i="20"/>
  <c r="F13" i="20"/>
  <c r="F14" i="20"/>
  <c r="F15" i="20"/>
  <c r="F16" i="20"/>
  <c r="F17" i="20"/>
  <c r="F18" i="20"/>
  <c r="F19" i="20"/>
  <c r="F20" i="20"/>
  <c r="F21" i="20"/>
  <c r="F22" i="20"/>
  <c r="F23" i="20"/>
  <c r="F24" i="20"/>
  <c r="F25" i="20"/>
  <c r="F26" i="20"/>
  <c r="F27" i="20"/>
  <c r="F28" i="20"/>
  <c r="F29" i="20"/>
  <c r="F30" i="20"/>
  <c r="F31" i="20"/>
  <c r="F32" i="20"/>
  <c r="F33" i="20"/>
  <c r="F34" i="20"/>
  <c r="F35" i="20"/>
  <c r="F36" i="20"/>
  <c r="F37" i="20"/>
  <c r="F38" i="20"/>
  <c r="F6" i="21"/>
  <c r="F7" i="21"/>
  <c r="F8" i="21"/>
  <c r="F9" i="21"/>
  <c r="F10" i="21"/>
  <c r="F11" i="21"/>
  <c r="F12" i="21"/>
  <c r="F13" i="21"/>
  <c r="F14" i="21"/>
  <c r="F15" i="21"/>
  <c r="F16" i="21"/>
  <c r="F17" i="21"/>
  <c r="F18" i="21"/>
  <c r="F19" i="21"/>
  <c r="F20" i="21"/>
  <c r="F21" i="21"/>
  <c r="F22" i="21"/>
  <c r="F23" i="21"/>
  <c r="F24" i="21"/>
  <c r="F25" i="21"/>
  <c r="F26" i="21"/>
  <c r="F27" i="21"/>
  <c r="F28" i="21"/>
  <c r="F29" i="21"/>
  <c r="F30" i="21"/>
  <c r="F31" i="21"/>
  <c r="F32" i="21"/>
  <c r="F33" i="21"/>
  <c r="F34" i="21"/>
  <c r="F35" i="21"/>
  <c r="F36" i="21"/>
  <c r="F37" i="21"/>
  <c r="F38" i="21"/>
  <c r="F6" i="22"/>
  <c r="F7" i="22"/>
  <c r="F8" i="22"/>
  <c r="F9" i="22"/>
  <c r="F10" i="22"/>
  <c r="F11" i="22"/>
  <c r="F12" i="22"/>
  <c r="F13" i="22"/>
  <c r="F14" i="22"/>
  <c r="F15" i="22"/>
  <c r="F16" i="22"/>
  <c r="F17" i="22"/>
  <c r="F18" i="22"/>
  <c r="F19" i="22"/>
  <c r="F20" i="22"/>
  <c r="F21" i="22"/>
  <c r="F22" i="22"/>
  <c r="F23" i="22"/>
  <c r="F24" i="22"/>
  <c r="F25" i="22"/>
  <c r="F26" i="22"/>
  <c r="F27" i="22"/>
  <c r="F28" i="22"/>
  <c r="F29" i="22"/>
  <c r="F30" i="22"/>
  <c r="F31" i="22"/>
  <c r="F32" i="22"/>
  <c r="F33" i="22"/>
  <c r="F34" i="22"/>
  <c r="F35" i="22"/>
  <c r="F36" i="22"/>
  <c r="F37" i="22"/>
  <c r="F38" i="22"/>
  <c r="F5" i="23"/>
  <c r="F6" i="23"/>
  <c r="F7" i="23"/>
  <c r="F8" i="23"/>
  <c r="F9" i="23"/>
  <c r="F10" i="23"/>
  <c r="F11" i="23"/>
  <c r="F12" i="23"/>
  <c r="F13" i="23"/>
  <c r="F14" i="23"/>
  <c r="F15" i="23"/>
  <c r="F16" i="23"/>
  <c r="F17" i="23"/>
  <c r="F18" i="23"/>
  <c r="F19" i="23"/>
  <c r="F20" i="23"/>
  <c r="F21" i="23"/>
  <c r="F22" i="23"/>
  <c r="F23" i="23"/>
  <c r="F24" i="23"/>
  <c r="F25" i="23"/>
  <c r="F26" i="23"/>
  <c r="F27" i="23"/>
  <c r="F28" i="23"/>
  <c r="F29" i="23"/>
  <c r="F30" i="23"/>
  <c r="F31" i="23"/>
  <c r="F32" i="23"/>
  <c r="F33" i="23"/>
  <c r="F34" i="23"/>
  <c r="F35" i="23"/>
  <c r="F36" i="23"/>
  <c r="F37" i="23"/>
  <c r="F38" i="23"/>
  <c r="F6" i="24"/>
  <c r="F7" i="24"/>
  <c r="F8" i="24"/>
  <c r="F9" i="24"/>
  <c r="F10" i="24"/>
  <c r="F11" i="24"/>
  <c r="F12" i="24"/>
  <c r="F13" i="24"/>
  <c r="F14" i="24"/>
  <c r="F15" i="24"/>
  <c r="F16" i="24"/>
  <c r="F17" i="24"/>
  <c r="F18" i="24"/>
  <c r="F19" i="24"/>
  <c r="F20" i="24"/>
  <c r="F21" i="24"/>
  <c r="F22" i="24"/>
  <c r="F23" i="24"/>
  <c r="F24" i="24"/>
  <c r="F25" i="24"/>
  <c r="F26" i="24"/>
  <c r="F27" i="24"/>
  <c r="F28" i="24"/>
  <c r="F29" i="24"/>
  <c r="F30" i="24"/>
  <c r="F31" i="24"/>
  <c r="F32" i="24"/>
  <c r="F33" i="24"/>
  <c r="F34" i="24"/>
  <c r="F35" i="24"/>
  <c r="F36" i="24"/>
  <c r="F37" i="24"/>
  <c r="F38" i="24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6" i="26"/>
  <c r="F7" i="26"/>
  <c r="F8" i="26"/>
  <c r="F9" i="26"/>
  <c r="F10" i="26"/>
  <c r="F11" i="26"/>
  <c r="F12" i="26"/>
  <c r="F13" i="26"/>
  <c r="F14" i="26"/>
  <c r="F15" i="26"/>
  <c r="F16" i="26"/>
  <c r="F17" i="26"/>
  <c r="F18" i="26"/>
  <c r="F19" i="26"/>
  <c r="F20" i="26"/>
  <c r="F21" i="26"/>
  <c r="F22" i="26"/>
  <c r="F23" i="26"/>
  <c r="F24" i="26"/>
  <c r="F25" i="26"/>
  <c r="F26" i="26"/>
  <c r="F27" i="26"/>
  <c r="F28" i="26"/>
  <c r="F29" i="26"/>
  <c r="F30" i="26"/>
  <c r="F31" i="26"/>
  <c r="F32" i="26"/>
  <c r="F33" i="26"/>
  <c r="F34" i="26"/>
  <c r="F35" i="26"/>
  <c r="F36" i="26"/>
  <c r="F37" i="26"/>
  <c r="F38" i="26"/>
  <c r="F5" i="27"/>
  <c r="F7" i="27"/>
  <c r="F8" i="27"/>
  <c r="F9" i="27"/>
  <c r="F10" i="27"/>
  <c r="F11" i="27"/>
  <c r="F12" i="27"/>
  <c r="F13" i="27"/>
  <c r="F14" i="27"/>
  <c r="F15" i="27"/>
  <c r="F16" i="27"/>
  <c r="F17" i="27"/>
  <c r="F18" i="27"/>
  <c r="F19" i="27"/>
  <c r="F20" i="27"/>
  <c r="F21" i="27"/>
  <c r="F22" i="27"/>
  <c r="F23" i="27"/>
  <c r="F24" i="27"/>
  <c r="F25" i="27"/>
  <c r="F26" i="27"/>
  <c r="F27" i="27"/>
  <c r="F28" i="27"/>
  <c r="F29" i="27"/>
  <c r="F30" i="27"/>
  <c r="F31" i="27"/>
  <c r="F32" i="27"/>
  <c r="F33" i="27"/>
  <c r="F34" i="27"/>
  <c r="F35" i="27"/>
  <c r="F36" i="27"/>
  <c r="F37" i="27"/>
  <c r="F38" i="27"/>
  <c r="F5" i="28"/>
  <c r="F6" i="28"/>
  <c r="F7" i="28"/>
  <c r="F8" i="28"/>
  <c r="F9" i="28"/>
  <c r="F10" i="28"/>
  <c r="F11" i="28"/>
  <c r="F12" i="28"/>
  <c r="F13" i="28"/>
  <c r="F14" i="28"/>
  <c r="F15" i="28"/>
  <c r="F16" i="28"/>
  <c r="F17" i="28"/>
  <c r="F18" i="28"/>
  <c r="F19" i="28"/>
  <c r="F20" i="28"/>
  <c r="F21" i="28"/>
  <c r="F22" i="28"/>
  <c r="F23" i="28"/>
  <c r="F24" i="28"/>
  <c r="F25" i="28"/>
  <c r="F26" i="28"/>
  <c r="F27" i="28"/>
  <c r="F28" i="28"/>
  <c r="F29" i="28"/>
  <c r="F30" i="28"/>
  <c r="F31" i="28"/>
  <c r="F32" i="28"/>
  <c r="F33" i="28"/>
  <c r="F34" i="28"/>
  <c r="F35" i="28"/>
  <c r="F36" i="28"/>
  <c r="F37" i="28"/>
  <c r="F38" i="28"/>
  <c r="F5" i="29"/>
  <c r="F5" i="30"/>
  <c r="F6" i="30"/>
  <c r="F7" i="30"/>
  <c r="F8" i="30"/>
  <c r="F9" i="30"/>
  <c r="F10" i="30"/>
  <c r="F11" i="30"/>
  <c r="F12" i="30"/>
  <c r="F13" i="30"/>
  <c r="F14" i="30"/>
  <c r="F15" i="30"/>
  <c r="F16" i="30"/>
  <c r="F17" i="30"/>
  <c r="F18" i="30"/>
  <c r="F19" i="30"/>
  <c r="F20" i="30"/>
  <c r="F21" i="30"/>
  <c r="F22" i="30"/>
  <c r="F23" i="30"/>
  <c r="F24" i="30"/>
  <c r="F25" i="30"/>
  <c r="F26" i="30"/>
  <c r="F27" i="30"/>
  <c r="F28" i="30"/>
  <c r="F29" i="30"/>
  <c r="F30" i="30"/>
  <c r="F31" i="30"/>
  <c r="F32" i="30"/>
  <c r="F33" i="30"/>
  <c r="F34" i="30"/>
  <c r="F35" i="30"/>
  <c r="F36" i="30"/>
  <c r="F37" i="30"/>
  <c r="F38" i="30"/>
  <c r="F5" i="31"/>
  <c r="F7" i="31"/>
  <c r="F8" i="31"/>
  <c r="F9" i="31"/>
  <c r="F10" i="31"/>
  <c r="F11" i="31"/>
  <c r="F12" i="31"/>
  <c r="F13" i="31"/>
  <c r="F14" i="31"/>
  <c r="F15" i="31"/>
  <c r="F16" i="31"/>
  <c r="F17" i="31"/>
  <c r="F18" i="31"/>
  <c r="F19" i="31"/>
  <c r="F20" i="31"/>
  <c r="F21" i="31"/>
  <c r="F22" i="31"/>
  <c r="F23" i="31"/>
  <c r="F24" i="31"/>
  <c r="F25" i="31"/>
  <c r="F26" i="31"/>
  <c r="F27" i="31"/>
  <c r="F28" i="31"/>
  <c r="F29" i="31"/>
  <c r="F30" i="31"/>
  <c r="F31" i="31"/>
  <c r="F32" i="31"/>
  <c r="F33" i="31"/>
  <c r="F34" i="31"/>
  <c r="F35" i="31"/>
  <c r="F36" i="31"/>
  <c r="F37" i="31"/>
  <c r="F38" i="31"/>
  <c r="F4" i="11"/>
  <c r="F4" i="14"/>
  <c r="F4" i="2"/>
  <c r="F4" i="4"/>
  <c r="F4" i="5"/>
  <c r="F4" i="6"/>
  <c r="F4" i="7"/>
  <c r="F4" i="8"/>
  <c r="F4" i="9"/>
  <c r="F4" i="10"/>
  <c r="F4" i="12"/>
  <c r="F4" i="13"/>
  <c r="T6" i="32"/>
  <c r="T8" i="32"/>
  <c r="T10" i="32"/>
  <c r="T12" i="32"/>
  <c r="T14" i="32"/>
  <c r="T16" i="32"/>
  <c r="T18" i="32"/>
  <c r="T20" i="32"/>
  <c r="T22" i="32"/>
  <c r="T24" i="32"/>
  <c r="T26" i="32"/>
  <c r="T28" i="32"/>
  <c r="T30" i="32"/>
  <c r="T32" i="32"/>
  <c r="T34" i="32"/>
  <c r="T36" i="32"/>
  <c r="T38" i="32"/>
  <c r="D5" i="32"/>
  <c r="D6" i="32"/>
  <c r="D7" i="32"/>
  <c r="D8" i="32"/>
  <c r="D9" i="32"/>
  <c r="D10" i="32"/>
  <c r="D11" i="32"/>
  <c r="D12" i="32"/>
  <c r="D13" i="32"/>
  <c r="D14" i="32"/>
  <c r="D15" i="32"/>
  <c r="D16" i="32"/>
  <c r="D17" i="32"/>
  <c r="D18" i="32"/>
  <c r="D19" i="32"/>
  <c r="D20" i="32"/>
  <c r="D21" i="32"/>
  <c r="D22" i="32"/>
  <c r="D23" i="32"/>
  <c r="D24" i="32"/>
  <c r="D25" i="32"/>
  <c r="D26" i="32"/>
  <c r="D27" i="32"/>
  <c r="D28" i="32"/>
  <c r="D29" i="32"/>
  <c r="D30" i="32"/>
  <c r="D31" i="32"/>
  <c r="D32" i="32"/>
  <c r="D33" i="32"/>
  <c r="D34" i="32"/>
  <c r="D35" i="32"/>
  <c r="D36" i="32"/>
  <c r="D37" i="32"/>
  <c r="D38" i="32"/>
  <c r="D4" i="32"/>
  <c r="D39" i="1"/>
  <c r="D39" i="31"/>
  <c r="D39" i="30"/>
  <c r="D39" i="29"/>
  <c r="D39" i="28"/>
  <c r="D39" i="27"/>
  <c r="D39" i="26"/>
  <c r="D39" i="25"/>
  <c r="D39" i="24"/>
  <c r="D39" i="23"/>
  <c r="D39" i="22"/>
  <c r="D39" i="21"/>
  <c r="D39" i="20"/>
  <c r="D39" i="19"/>
  <c r="D39" i="18"/>
  <c r="D39" i="17"/>
  <c r="D39" i="16"/>
  <c r="D39" i="15"/>
  <c r="D39" i="14"/>
  <c r="D39" i="13"/>
  <c r="D39" i="11"/>
  <c r="D39" i="12"/>
  <c r="D39" i="10"/>
  <c r="D39" i="9"/>
  <c r="D39" i="8"/>
  <c r="D39" i="7"/>
  <c r="D39" i="6"/>
  <c r="D39" i="5"/>
  <c r="D39" i="4"/>
  <c r="D39" i="3"/>
  <c r="F39" i="6" l="1"/>
  <c r="F39" i="5"/>
  <c r="F39" i="3"/>
  <c r="F39" i="2"/>
  <c r="D39" i="32"/>
  <c r="F6" i="31"/>
  <c r="F6" i="27"/>
  <c r="T37" i="32"/>
  <c r="T35" i="32"/>
  <c r="T33" i="32"/>
  <c r="T31" i="32"/>
  <c r="T29" i="32"/>
  <c r="T27" i="32"/>
  <c r="T25" i="32"/>
  <c r="T23" i="32"/>
  <c r="T21" i="32"/>
  <c r="T19" i="32"/>
  <c r="T17" i="32"/>
  <c r="T15" i="32"/>
  <c r="T13" i="32"/>
  <c r="T11" i="32"/>
  <c r="T9" i="32"/>
  <c r="T7" i="32"/>
  <c r="T5" i="32"/>
  <c r="F5" i="20"/>
  <c r="S38" i="32"/>
  <c r="S36" i="32"/>
  <c r="S34" i="32"/>
  <c r="S32" i="32"/>
  <c r="S30" i="32"/>
  <c r="S28" i="32"/>
  <c r="S26" i="32"/>
  <c r="S24" i="32"/>
  <c r="S22" i="32"/>
  <c r="S20" i="32"/>
  <c r="S18" i="32"/>
  <c r="S16" i="32"/>
  <c r="S14" i="32"/>
  <c r="S12" i="32"/>
  <c r="S10" i="32"/>
  <c r="S8" i="32"/>
  <c r="S6" i="32"/>
  <c r="F5" i="24"/>
  <c r="F5" i="17"/>
  <c r="F5" i="16"/>
  <c r="F6" i="4"/>
  <c r="F39" i="4" s="1"/>
  <c r="T4" i="32"/>
  <c r="C24" i="36"/>
  <c r="D24" i="36"/>
  <c r="B7" i="36"/>
  <c r="E24" i="36" l="1"/>
  <c r="T39" i="32"/>
  <c r="R6" i="32"/>
  <c r="R8" i="32"/>
  <c r="R10" i="32"/>
  <c r="R12" i="32"/>
  <c r="R14" i="32"/>
  <c r="R16" i="32"/>
  <c r="R18" i="32"/>
  <c r="R20" i="32"/>
  <c r="R22" i="32"/>
  <c r="R24" i="32"/>
  <c r="R26" i="32"/>
  <c r="R28" i="32"/>
  <c r="R30" i="32"/>
  <c r="R32" i="32"/>
  <c r="R34" i="32"/>
  <c r="R36" i="32"/>
  <c r="R38" i="32"/>
  <c r="S5" i="32"/>
  <c r="S7" i="32"/>
  <c r="S9" i="32"/>
  <c r="S11" i="32"/>
  <c r="S13" i="32"/>
  <c r="S15" i="32"/>
  <c r="S17" i="32"/>
  <c r="S19" i="32"/>
  <c r="S21" i="32"/>
  <c r="S23" i="32"/>
  <c r="S25" i="32"/>
  <c r="S27" i="32"/>
  <c r="S29" i="32"/>
  <c r="S31" i="32"/>
  <c r="S33" i="32"/>
  <c r="S35" i="32"/>
  <c r="S37" i="32"/>
  <c r="S4" i="32"/>
  <c r="C38" i="34"/>
  <c r="D38" i="34"/>
  <c r="B7" i="34"/>
  <c r="B6" i="33"/>
  <c r="E38" i="34" l="1"/>
  <c r="Q34" i="32"/>
  <c r="Q26" i="32"/>
  <c r="Q22" i="32"/>
  <c r="Q18" i="32"/>
  <c r="Q14" i="32"/>
  <c r="Q10" i="32"/>
  <c r="Q6" i="32"/>
  <c r="S39" i="32"/>
  <c r="R37" i="32"/>
  <c r="R35" i="32"/>
  <c r="R33" i="32"/>
  <c r="R31" i="32"/>
  <c r="R29" i="32"/>
  <c r="R27" i="32"/>
  <c r="R25" i="32"/>
  <c r="R23" i="32"/>
  <c r="R21" i="32"/>
  <c r="R19" i="32"/>
  <c r="R17" i="32"/>
  <c r="R15" i="32"/>
  <c r="R13" i="32"/>
  <c r="R11" i="32"/>
  <c r="R9" i="32"/>
  <c r="R7" i="32"/>
  <c r="R5" i="32"/>
  <c r="Q38" i="32"/>
  <c r="Q36" i="32"/>
  <c r="Q32" i="32"/>
  <c r="Q30" i="32"/>
  <c r="Q28" i="32"/>
  <c r="Q24" i="32"/>
  <c r="Q20" i="32"/>
  <c r="Q16" i="32"/>
  <c r="Q12" i="32"/>
  <c r="Q8" i="32"/>
  <c r="R4" i="32"/>
  <c r="B43" i="2"/>
  <c r="B43" i="3"/>
  <c r="B43" i="4"/>
  <c r="B43" i="5"/>
  <c r="B43" i="6"/>
  <c r="B43" i="7"/>
  <c r="B43" i="8"/>
  <c r="B43" i="9"/>
  <c r="B43" i="10"/>
  <c r="B43" i="11"/>
  <c r="B43" i="12"/>
  <c r="B43" i="13"/>
  <c r="B43" i="14"/>
  <c r="B43" i="15"/>
  <c r="B43" i="16"/>
  <c r="B43" i="17"/>
  <c r="B43" i="18"/>
  <c r="B43" i="19"/>
  <c r="B43" i="20"/>
  <c r="B43" i="21"/>
  <c r="B43" i="22"/>
  <c r="B43" i="23"/>
  <c r="B43" i="24"/>
  <c r="B43" i="25"/>
  <c r="B43" i="26"/>
  <c r="B43" i="27"/>
  <c r="B43" i="28"/>
  <c r="B43" i="29"/>
  <c r="B43" i="30"/>
  <c r="B43" i="31"/>
  <c r="B43" i="1"/>
  <c r="B42" i="5"/>
  <c r="B42" i="6"/>
  <c r="B42" i="2"/>
  <c r="B42" i="3"/>
  <c r="B42" i="4"/>
  <c r="B42" i="8"/>
  <c r="B42" i="9"/>
  <c r="B42" i="10"/>
  <c r="B42" i="11"/>
  <c r="B42" i="12"/>
  <c r="B42" i="13"/>
  <c r="B42" i="14"/>
  <c r="B42" i="15"/>
  <c r="B42" i="16"/>
  <c r="B42" i="17"/>
  <c r="B42" i="18"/>
  <c r="B42" i="19"/>
  <c r="B42" i="20"/>
  <c r="B42" i="21"/>
  <c r="B42" i="22"/>
  <c r="B42" i="23"/>
  <c r="B42" i="24"/>
  <c r="B42" i="25"/>
  <c r="B42" i="26"/>
  <c r="B42" i="27"/>
  <c r="B42" i="28"/>
  <c r="B42" i="29"/>
  <c r="B42" i="30"/>
  <c r="B42" i="31"/>
  <c r="B42" i="1"/>
  <c r="P8" i="32" l="1"/>
  <c r="P12" i="32"/>
  <c r="P16" i="32"/>
  <c r="P20" i="32"/>
  <c r="P24" i="32"/>
  <c r="P28" i="32"/>
  <c r="P30" i="32"/>
  <c r="P32" i="32"/>
  <c r="P36" i="32"/>
  <c r="P38" i="32"/>
  <c r="Q5" i="32"/>
  <c r="Q7" i="32"/>
  <c r="Q9" i="32"/>
  <c r="Q11" i="32"/>
  <c r="Q13" i="32"/>
  <c r="Q15" i="32"/>
  <c r="Q17" i="32"/>
  <c r="Q19" i="32"/>
  <c r="Q21" i="32"/>
  <c r="Q23" i="32"/>
  <c r="Q25" i="32"/>
  <c r="Q27" i="32"/>
  <c r="Q29" i="32"/>
  <c r="Q31" i="32"/>
  <c r="Q33" i="32"/>
  <c r="Q35" i="32"/>
  <c r="Q37" i="32"/>
  <c r="R39" i="32"/>
  <c r="F5" i="7"/>
  <c r="F39" i="7" s="1"/>
  <c r="F5" i="9"/>
  <c r="F39" i="9" s="1"/>
  <c r="P6" i="32"/>
  <c r="P10" i="32"/>
  <c r="P14" i="32"/>
  <c r="P18" i="32"/>
  <c r="P22" i="32"/>
  <c r="P26" i="32"/>
  <c r="P34" i="32"/>
  <c r="Q4" i="32"/>
  <c r="B42" i="7"/>
  <c r="B43" i="32"/>
  <c r="Q39" i="32" l="1"/>
  <c r="O34" i="32"/>
  <c r="O26" i="32"/>
  <c r="O22" i="32"/>
  <c r="O18" i="32"/>
  <c r="O14" i="32"/>
  <c r="O10" i="32"/>
  <c r="O6" i="32"/>
  <c r="P33" i="32"/>
  <c r="P25" i="32"/>
  <c r="P21" i="32"/>
  <c r="P17" i="32"/>
  <c r="P13" i="32"/>
  <c r="P9" i="32"/>
  <c r="P5" i="32"/>
  <c r="P37" i="32"/>
  <c r="P35" i="32"/>
  <c r="P31" i="32"/>
  <c r="P29" i="32"/>
  <c r="P27" i="32"/>
  <c r="P23" i="32"/>
  <c r="P19" i="32"/>
  <c r="P15" i="32"/>
  <c r="P11" i="32"/>
  <c r="P7" i="32"/>
  <c r="F5" i="8"/>
  <c r="F39" i="8" s="1"/>
  <c r="O38" i="32"/>
  <c r="O36" i="32"/>
  <c r="O32" i="32"/>
  <c r="O30" i="32"/>
  <c r="O28" i="32"/>
  <c r="O24" i="32"/>
  <c r="O20" i="32"/>
  <c r="O16" i="32"/>
  <c r="O12" i="32"/>
  <c r="O8" i="32"/>
  <c r="P4" i="32"/>
  <c r="E2" i="2"/>
  <c r="E2" i="3"/>
  <c r="E2" i="4"/>
  <c r="E2" i="5"/>
  <c r="E2" i="6"/>
  <c r="E2" i="7"/>
  <c r="E2" i="8"/>
  <c r="E2" i="9"/>
  <c r="E2" i="10"/>
  <c r="E2" i="11"/>
  <c r="E2" i="12"/>
  <c r="E2" i="13"/>
  <c r="E2" i="14"/>
  <c r="E2" i="15"/>
  <c r="E2" i="16"/>
  <c r="E2" i="17"/>
  <c r="E2" i="18"/>
  <c r="E2" i="19"/>
  <c r="E2" i="20"/>
  <c r="E2" i="21"/>
  <c r="E2" i="22"/>
  <c r="E2" i="23"/>
  <c r="E2" i="24"/>
  <c r="E2" i="25"/>
  <c r="E2" i="26"/>
  <c r="E2" i="27"/>
  <c r="E2" i="28"/>
  <c r="E2" i="29"/>
  <c r="E2" i="30"/>
  <c r="E2" i="31"/>
  <c r="E2" i="32"/>
  <c r="E2" i="1"/>
  <c r="B44" i="8"/>
  <c r="B45" i="8" s="1"/>
  <c r="P39" i="32" l="1"/>
  <c r="N8" i="32"/>
  <c r="N12" i="32"/>
  <c r="N16" i="32"/>
  <c r="N20" i="32"/>
  <c r="N24" i="32"/>
  <c r="N28" i="32"/>
  <c r="N30" i="32"/>
  <c r="N32" i="32"/>
  <c r="N36" i="32"/>
  <c r="N38" i="32"/>
  <c r="O7" i="32"/>
  <c r="O11" i="32"/>
  <c r="O15" i="32"/>
  <c r="O19" i="32"/>
  <c r="O23" i="32"/>
  <c r="O27" i="32"/>
  <c r="O29" i="32"/>
  <c r="O31" i="32"/>
  <c r="O35" i="32"/>
  <c r="O37" i="32"/>
  <c r="O5" i="32"/>
  <c r="O9" i="32"/>
  <c r="O13" i="32"/>
  <c r="O17" i="32"/>
  <c r="O21" i="32"/>
  <c r="O25" i="32"/>
  <c r="O33" i="32"/>
  <c r="N6" i="32"/>
  <c r="N10" i="32"/>
  <c r="N14" i="32"/>
  <c r="N18" i="32"/>
  <c r="N22" i="32"/>
  <c r="N26" i="32"/>
  <c r="N34" i="32"/>
  <c r="O4" i="32"/>
  <c r="B44" i="6"/>
  <c r="B45" i="6" s="1"/>
  <c r="B44" i="4"/>
  <c r="B45" i="4" s="1"/>
  <c r="B44" i="2"/>
  <c r="B45" i="2" s="1"/>
  <c r="B44" i="9"/>
  <c r="B45" i="9" s="1"/>
  <c r="B44" i="5"/>
  <c r="B45" i="5" s="1"/>
  <c r="B44" i="3"/>
  <c r="B45" i="3" s="1"/>
  <c r="K48" i="32"/>
  <c r="K47" i="32"/>
  <c r="K46" i="32"/>
  <c r="K45" i="32"/>
  <c r="K44" i="32"/>
  <c r="K43" i="32"/>
  <c r="K42" i="32"/>
  <c r="G44" i="32"/>
  <c r="G45" i="32"/>
  <c r="G46" i="32"/>
  <c r="G47" i="32"/>
  <c r="G48" i="32"/>
  <c r="G43" i="32"/>
  <c r="G42" i="32"/>
  <c r="G49" i="32" l="1"/>
  <c r="B46" i="32" s="1"/>
  <c r="M34" i="32"/>
  <c r="M26" i="32"/>
  <c r="M22" i="32"/>
  <c r="M18" i="32"/>
  <c r="M14" i="32"/>
  <c r="M10" i="32"/>
  <c r="M6" i="32"/>
  <c r="O39" i="32"/>
  <c r="N33" i="32"/>
  <c r="N25" i="32"/>
  <c r="N21" i="32"/>
  <c r="N17" i="32"/>
  <c r="N13" i="32"/>
  <c r="N9" i="32"/>
  <c r="N5" i="32"/>
  <c r="N37" i="32"/>
  <c r="N35" i="32"/>
  <c r="N31" i="32"/>
  <c r="N29" i="32"/>
  <c r="N27" i="32"/>
  <c r="N23" i="32"/>
  <c r="N19" i="32"/>
  <c r="N15" i="32"/>
  <c r="N11" i="32"/>
  <c r="N7" i="32"/>
  <c r="M38" i="32"/>
  <c r="M36" i="32"/>
  <c r="M32" i="32"/>
  <c r="M30" i="32"/>
  <c r="M28" i="32"/>
  <c r="M24" i="32"/>
  <c r="M20" i="32"/>
  <c r="M16" i="32"/>
  <c r="M12" i="32"/>
  <c r="M8" i="32"/>
  <c r="N4" i="32"/>
  <c r="K49" i="32"/>
  <c r="B41" i="32" s="1"/>
  <c r="N39" i="32" l="1"/>
  <c r="L12" i="32"/>
  <c r="L20" i="32"/>
  <c r="L28" i="32"/>
  <c r="L36" i="32"/>
  <c r="L38" i="32"/>
  <c r="M11" i="32"/>
  <c r="M15" i="32"/>
  <c r="M19" i="32"/>
  <c r="M23" i="32"/>
  <c r="M27" i="32"/>
  <c r="M29" i="32"/>
  <c r="M31" i="32"/>
  <c r="M35" i="32"/>
  <c r="M37" i="32"/>
  <c r="M5" i="32"/>
  <c r="M9" i="32"/>
  <c r="M13" i="32"/>
  <c r="M17" i="32"/>
  <c r="M21" i="32"/>
  <c r="M25" i="32"/>
  <c r="M33" i="32"/>
  <c r="L8" i="32"/>
  <c r="L16" i="32"/>
  <c r="L24" i="32"/>
  <c r="L30" i="32"/>
  <c r="L32" i="32"/>
  <c r="M7" i="32"/>
  <c r="L6" i="32"/>
  <c r="L10" i="32"/>
  <c r="L14" i="32"/>
  <c r="L18" i="32"/>
  <c r="L22" i="32"/>
  <c r="L26" i="32"/>
  <c r="L34" i="32"/>
  <c r="M4" i="32"/>
  <c r="G48" i="9"/>
  <c r="G47" i="9"/>
  <c r="G46" i="9"/>
  <c r="G45" i="9"/>
  <c r="G44" i="9"/>
  <c r="G43" i="9"/>
  <c r="G42" i="9"/>
  <c r="G48" i="10"/>
  <c r="G47" i="10"/>
  <c r="G46" i="10"/>
  <c r="G45" i="10"/>
  <c r="G44" i="10"/>
  <c r="G43" i="10"/>
  <c r="G42" i="10"/>
  <c r="G48" i="11"/>
  <c r="G47" i="11"/>
  <c r="G46" i="11"/>
  <c r="G45" i="11"/>
  <c r="G44" i="11"/>
  <c r="G43" i="11"/>
  <c r="G42" i="11"/>
  <c r="G48" i="12"/>
  <c r="G47" i="12"/>
  <c r="G46" i="12"/>
  <c r="G45" i="12"/>
  <c r="G44" i="12"/>
  <c r="G43" i="12"/>
  <c r="G42" i="12"/>
  <c r="G48" i="13"/>
  <c r="G47" i="13"/>
  <c r="G46" i="13"/>
  <c r="G45" i="13"/>
  <c r="G44" i="13"/>
  <c r="G43" i="13"/>
  <c r="G42" i="13"/>
  <c r="G48" i="14"/>
  <c r="G47" i="14"/>
  <c r="G46" i="14"/>
  <c r="G45" i="14"/>
  <c r="G44" i="14"/>
  <c r="G43" i="14"/>
  <c r="G42" i="14"/>
  <c r="G48" i="15"/>
  <c r="G47" i="15"/>
  <c r="G46" i="15"/>
  <c r="G45" i="15"/>
  <c r="G44" i="15"/>
  <c r="G43" i="15"/>
  <c r="G42" i="15"/>
  <c r="G48" i="16"/>
  <c r="G47" i="16"/>
  <c r="G46" i="16"/>
  <c r="G45" i="16"/>
  <c r="G44" i="16"/>
  <c r="G43" i="16"/>
  <c r="G42" i="16"/>
  <c r="G48" i="17"/>
  <c r="G47" i="17"/>
  <c r="G46" i="17"/>
  <c r="G45" i="17"/>
  <c r="G44" i="17"/>
  <c r="G43" i="17"/>
  <c r="G42" i="17"/>
  <c r="G48" i="18"/>
  <c r="G47" i="18"/>
  <c r="G46" i="18"/>
  <c r="G45" i="18"/>
  <c r="G44" i="18"/>
  <c r="G43" i="18"/>
  <c r="G42" i="18"/>
  <c r="G48" i="19"/>
  <c r="G47" i="19"/>
  <c r="G46" i="19"/>
  <c r="G45" i="19"/>
  <c r="G44" i="19"/>
  <c r="G43" i="19"/>
  <c r="G42" i="19"/>
  <c r="G48" i="20"/>
  <c r="G47" i="20"/>
  <c r="G46" i="20"/>
  <c r="G45" i="20"/>
  <c r="G44" i="20"/>
  <c r="G43" i="20"/>
  <c r="G42" i="20"/>
  <c r="G48" i="21"/>
  <c r="G47" i="21"/>
  <c r="G46" i="21"/>
  <c r="G45" i="21"/>
  <c r="G44" i="21"/>
  <c r="G43" i="21"/>
  <c r="G42" i="21"/>
  <c r="G48" i="22"/>
  <c r="G47" i="22"/>
  <c r="G46" i="22"/>
  <c r="G45" i="22"/>
  <c r="G44" i="22"/>
  <c r="G43" i="22"/>
  <c r="G42" i="22"/>
  <c r="G48" i="23"/>
  <c r="G47" i="23"/>
  <c r="G46" i="23"/>
  <c r="G45" i="23"/>
  <c r="G44" i="23"/>
  <c r="G43" i="23"/>
  <c r="G42" i="23"/>
  <c r="G48" i="24"/>
  <c r="G47" i="24"/>
  <c r="G46" i="24"/>
  <c r="G45" i="24"/>
  <c r="G44" i="24"/>
  <c r="G43" i="24"/>
  <c r="G42" i="24"/>
  <c r="G48" i="25"/>
  <c r="G47" i="25"/>
  <c r="G46" i="25"/>
  <c r="G45" i="25"/>
  <c r="G44" i="25"/>
  <c r="G43" i="25"/>
  <c r="G42" i="25"/>
  <c r="G48" i="26"/>
  <c r="G47" i="26"/>
  <c r="G46" i="26"/>
  <c r="G45" i="26"/>
  <c r="G44" i="26"/>
  <c r="G43" i="26"/>
  <c r="G42" i="26"/>
  <c r="G48" i="27"/>
  <c r="G47" i="27"/>
  <c r="G46" i="27"/>
  <c r="G45" i="27"/>
  <c r="G44" i="27"/>
  <c r="G43" i="27"/>
  <c r="G42" i="27"/>
  <c r="G48" i="28"/>
  <c r="G47" i="28"/>
  <c r="G46" i="28"/>
  <c r="G45" i="28"/>
  <c r="G44" i="28"/>
  <c r="G43" i="28"/>
  <c r="G42" i="28"/>
  <c r="G48" i="29"/>
  <c r="G47" i="29"/>
  <c r="G46" i="29"/>
  <c r="G45" i="29"/>
  <c r="G44" i="29"/>
  <c r="G43" i="29"/>
  <c r="G42" i="29"/>
  <c r="G48" i="30"/>
  <c r="G47" i="30"/>
  <c r="G46" i="30"/>
  <c r="G45" i="30"/>
  <c r="G44" i="30"/>
  <c r="G43" i="30"/>
  <c r="G42" i="30"/>
  <c r="G48" i="31"/>
  <c r="G47" i="31"/>
  <c r="G46" i="31"/>
  <c r="G45" i="31"/>
  <c r="G44" i="31"/>
  <c r="G43" i="31"/>
  <c r="G42" i="31"/>
  <c r="G48" i="8"/>
  <c r="G47" i="8"/>
  <c r="G46" i="8"/>
  <c r="G45" i="8"/>
  <c r="G44" i="8"/>
  <c r="G43" i="8"/>
  <c r="G42" i="8"/>
  <c r="M39" i="32" l="1"/>
  <c r="L33" i="32"/>
  <c r="L25" i="32"/>
  <c r="L21" i="32"/>
  <c r="L17" i="32"/>
  <c r="L13" i="32"/>
  <c r="L9" i="32"/>
  <c r="L5" i="32"/>
  <c r="K34" i="32"/>
  <c r="K26" i="32"/>
  <c r="K22" i="32"/>
  <c r="K18" i="32"/>
  <c r="K14" i="32"/>
  <c r="K10" i="32"/>
  <c r="K6" i="32"/>
  <c r="L7" i="32"/>
  <c r="K32" i="32"/>
  <c r="K30" i="32"/>
  <c r="K24" i="32"/>
  <c r="K16" i="32"/>
  <c r="K8" i="32"/>
  <c r="L37" i="32"/>
  <c r="L35" i="32"/>
  <c r="L31" i="32"/>
  <c r="L29" i="32"/>
  <c r="L27" i="32"/>
  <c r="L23" i="32"/>
  <c r="L19" i="32"/>
  <c r="L15" i="32"/>
  <c r="L11" i="32"/>
  <c r="F5" i="10"/>
  <c r="K38" i="32"/>
  <c r="K36" i="32"/>
  <c r="K28" i="32"/>
  <c r="K20" i="32"/>
  <c r="K12" i="32"/>
  <c r="L4" i="32"/>
  <c r="G49" i="23"/>
  <c r="B46" i="23" s="1"/>
  <c r="G49" i="17"/>
  <c r="B46" i="17" s="1"/>
  <c r="G49" i="9"/>
  <c r="B46" i="9" s="1"/>
  <c r="B48" i="9" s="1"/>
  <c r="G49" i="8"/>
  <c r="B46" i="8" s="1"/>
  <c r="B48" i="8" s="1"/>
  <c r="G49" i="18"/>
  <c r="B46" i="18" s="1"/>
  <c r="G49" i="14"/>
  <c r="B46" i="14" s="1"/>
  <c r="G49" i="12"/>
  <c r="B46" i="12" s="1"/>
  <c r="G49" i="31"/>
  <c r="B46" i="31" s="1"/>
  <c r="G49" i="30"/>
  <c r="G49" i="29"/>
  <c r="B46" i="29" s="1"/>
  <c r="G49" i="28"/>
  <c r="B46" i="28" s="1"/>
  <c r="G49" i="25"/>
  <c r="B46" i="25" s="1"/>
  <c r="G49" i="22"/>
  <c r="B46" i="22" s="1"/>
  <c r="G49" i="21"/>
  <c r="B46" i="21" s="1"/>
  <c r="G49" i="19"/>
  <c r="B46" i="19" s="1"/>
  <c r="G49" i="20"/>
  <c r="B46" i="20" s="1"/>
  <c r="G49" i="16"/>
  <c r="B46" i="16" s="1"/>
  <c r="G49" i="15"/>
  <c r="B46" i="15" s="1"/>
  <c r="G49" i="13"/>
  <c r="G49" i="26"/>
  <c r="B46" i="26" s="1"/>
  <c r="G49" i="24"/>
  <c r="B46" i="24" s="1"/>
  <c r="B44" i="7"/>
  <c r="B45" i="7" s="1"/>
  <c r="G49" i="27"/>
  <c r="B46" i="27" s="1"/>
  <c r="G49" i="11"/>
  <c r="B46" i="11" s="1"/>
  <c r="G49" i="10"/>
  <c r="B46" i="10" s="1"/>
  <c r="B42" i="32"/>
  <c r="B46" i="13" l="1"/>
  <c r="L39" i="32"/>
  <c r="J12" i="32"/>
  <c r="J20" i="32"/>
  <c r="J28" i="32"/>
  <c r="J36" i="32"/>
  <c r="J38" i="32"/>
  <c r="K11" i="32"/>
  <c r="K15" i="32"/>
  <c r="K19" i="32"/>
  <c r="K23" i="32"/>
  <c r="K27" i="32"/>
  <c r="K29" i="32"/>
  <c r="K31" i="32"/>
  <c r="K35" i="32"/>
  <c r="K37" i="32"/>
  <c r="J8" i="32"/>
  <c r="J16" i="32"/>
  <c r="J24" i="32"/>
  <c r="J30" i="32"/>
  <c r="J32" i="32"/>
  <c r="K7" i="32"/>
  <c r="J6" i="32"/>
  <c r="J10" i="32"/>
  <c r="J14" i="32"/>
  <c r="J18" i="32"/>
  <c r="J22" i="32"/>
  <c r="J26" i="32"/>
  <c r="J34" i="32"/>
  <c r="K5" i="32"/>
  <c r="K9" i="32"/>
  <c r="K13" i="32"/>
  <c r="K17" i="32"/>
  <c r="K21" i="32"/>
  <c r="K25" i="32"/>
  <c r="K33" i="32"/>
  <c r="K4" i="32"/>
  <c r="F4" i="17"/>
  <c r="F39" i="17" s="1"/>
  <c r="B44" i="17" s="1"/>
  <c r="B45" i="17" s="1"/>
  <c r="B48" i="17" s="1"/>
  <c r="F4" i="21"/>
  <c r="F4" i="25"/>
  <c r="F4" i="29"/>
  <c r="F39" i="29" s="1"/>
  <c r="B44" i="29" s="1"/>
  <c r="F4" i="15"/>
  <c r="F4" i="19"/>
  <c r="F4" i="23"/>
  <c r="F39" i="23" s="1"/>
  <c r="B44" i="23" s="1"/>
  <c r="B45" i="23" s="1"/>
  <c r="B49" i="23" s="1"/>
  <c r="F4" i="27"/>
  <c r="F39" i="27" s="1"/>
  <c r="B44" i="27" s="1"/>
  <c r="B45" i="27" s="1"/>
  <c r="F4" i="31"/>
  <c r="F39" i="31" s="1"/>
  <c r="B44" i="31" s="1"/>
  <c r="B45" i="31" s="1"/>
  <c r="B48" i="31" s="1"/>
  <c r="B46" i="30"/>
  <c r="B47" i="9"/>
  <c r="B49" i="9"/>
  <c r="B49" i="8"/>
  <c r="B47" i="8"/>
  <c r="G42" i="3"/>
  <c r="G43" i="3"/>
  <c r="G44" i="3"/>
  <c r="G45" i="3"/>
  <c r="G46" i="3"/>
  <c r="G47" i="3"/>
  <c r="G48" i="3"/>
  <c r="B45" i="29" l="1"/>
  <c r="B49" i="29" s="1"/>
  <c r="B49" i="27"/>
  <c r="B47" i="27"/>
  <c r="K39" i="32"/>
  <c r="B49" i="31"/>
  <c r="B47" i="23"/>
  <c r="I34" i="32"/>
  <c r="I26" i="32"/>
  <c r="I22" i="32"/>
  <c r="I18" i="32"/>
  <c r="I14" i="32"/>
  <c r="I10" i="32"/>
  <c r="I6" i="32"/>
  <c r="B49" i="17"/>
  <c r="B48" i="27"/>
  <c r="J33" i="32"/>
  <c r="J25" i="32"/>
  <c r="J21" i="32"/>
  <c r="J17" i="32"/>
  <c r="J13" i="32"/>
  <c r="J9" i="32"/>
  <c r="J5" i="32"/>
  <c r="F5" i="13"/>
  <c r="J7" i="32"/>
  <c r="F6" i="10"/>
  <c r="F5" i="11"/>
  <c r="F39" i="11" s="1"/>
  <c r="B44" i="11" s="1"/>
  <c r="B45" i="11" s="1"/>
  <c r="I32" i="32"/>
  <c r="I30" i="32"/>
  <c r="I24" i="32"/>
  <c r="I16" i="32"/>
  <c r="I8" i="32"/>
  <c r="J37" i="32"/>
  <c r="J35" i="32"/>
  <c r="J31" i="32"/>
  <c r="J29" i="32"/>
  <c r="J27" i="32"/>
  <c r="J23" i="32"/>
  <c r="J19" i="32"/>
  <c r="J15" i="32"/>
  <c r="J11" i="32"/>
  <c r="I38" i="32"/>
  <c r="I36" i="32"/>
  <c r="I28" i="32"/>
  <c r="I20" i="32"/>
  <c r="I12" i="32"/>
  <c r="F4" i="24"/>
  <c r="F39" i="24" s="1"/>
  <c r="B44" i="24" s="1"/>
  <c r="B45" i="24" s="1"/>
  <c r="F4" i="20"/>
  <c r="F39" i="20" s="1"/>
  <c r="B44" i="20" s="1"/>
  <c r="B45" i="20" s="1"/>
  <c r="F4" i="16"/>
  <c r="F39" i="16" s="1"/>
  <c r="B44" i="16" s="1"/>
  <c r="B45" i="16" s="1"/>
  <c r="F4" i="26"/>
  <c r="F4" i="22"/>
  <c r="F4" i="18"/>
  <c r="F39" i="18" s="1"/>
  <c r="B44" i="18" s="1"/>
  <c r="B45" i="18" s="1"/>
  <c r="B48" i="23"/>
  <c r="B47" i="31"/>
  <c r="B47" i="17"/>
  <c r="J4" i="32"/>
  <c r="G49" i="3"/>
  <c r="B46" i="3" s="1"/>
  <c r="B48" i="3" s="1"/>
  <c r="G48" i="4"/>
  <c r="G47" i="4"/>
  <c r="G46" i="4"/>
  <c r="G45" i="4"/>
  <c r="G44" i="4"/>
  <c r="G43" i="4"/>
  <c r="G42" i="4"/>
  <c r="G48" i="5"/>
  <c r="G47" i="5"/>
  <c r="G46" i="5"/>
  <c r="G45" i="5"/>
  <c r="G44" i="5"/>
  <c r="G43" i="5"/>
  <c r="G42" i="5"/>
  <c r="G48" i="6"/>
  <c r="G47" i="6"/>
  <c r="G46" i="6"/>
  <c r="G45" i="6"/>
  <c r="G44" i="6"/>
  <c r="G43" i="6"/>
  <c r="G42" i="6"/>
  <c r="G48" i="7"/>
  <c r="G47" i="7"/>
  <c r="G46" i="7"/>
  <c r="G45" i="7"/>
  <c r="G44" i="7"/>
  <c r="G43" i="7"/>
  <c r="G42" i="7"/>
  <c r="G48" i="2"/>
  <c r="G47" i="2"/>
  <c r="G46" i="2"/>
  <c r="G45" i="2"/>
  <c r="G44" i="2"/>
  <c r="G43" i="2"/>
  <c r="G42" i="2"/>
  <c r="G43" i="1"/>
  <c r="G44" i="1"/>
  <c r="G45" i="1"/>
  <c r="G46" i="1"/>
  <c r="G47" i="1"/>
  <c r="G48" i="1"/>
  <c r="G42" i="1"/>
  <c r="B47" i="29" l="1"/>
  <c r="B48" i="29"/>
  <c r="J39" i="32"/>
  <c r="H12" i="32"/>
  <c r="H20" i="32"/>
  <c r="H28" i="32"/>
  <c r="H36" i="32"/>
  <c r="H38" i="32"/>
  <c r="F6" i="15"/>
  <c r="F39" i="15" s="1"/>
  <c r="B44" i="15" s="1"/>
  <c r="B45" i="15" s="1"/>
  <c r="F5" i="14"/>
  <c r="F39" i="14" s="1"/>
  <c r="B44" i="14" s="1"/>
  <c r="B45" i="14" s="1"/>
  <c r="I11" i="32"/>
  <c r="I15" i="32"/>
  <c r="I19" i="32"/>
  <c r="I23" i="32"/>
  <c r="I27" i="32"/>
  <c r="I29" i="32"/>
  <c r="I31" i="32"/>
  <c r="I35" i="32"/>
  <c r="I37" i="32"/>
  <c r="H8" i="32"/>
  <c r="H16" i="32"/>
  <c r="H24" i="32"/>
  <c r="H30" i="32"/>
  <c r="H32" i="32"/>
  <c r="F6" i="19"/>
  <c r="F39" i="19" s="1"/>
  <c r="B44" i="19" s="1"/>
  <c r="B45" i="19" s="1"/>
  <c r="I7" i="32"/>
  <c r="F5" i="12"/>
  <c r="F39" i="12" s="1"/>
  <c r="B44" i="12" s="1"/>
  <c r="B45" i="12" s="1"/>
  <c r="I5" i="32"/>
  <c r="I9" i="32"/>
  <c r="I13" i="32"/>
  <c r="I17" i="32"/>
  <c r="I21" i="32"/>
  <c r="I25" i="32"/>
  <c r="I33" i="32"/>
  <c r="B48" i="11"/>
  <c r="B49" i="11"/>
  <c r="B47" i="11"/>
  <c r="H6" i="32"/>
  <c r="H10" i="32"/>
  <c r="H14" i="32"/>
  <c r="H18" i="32"/>
  <c r="H22" i="32"/>
  <c r="H26" i="32"/>
  <c r="H34" i="32"/>
  <c r="F4" i="30"/>
  <c r="F39" i="30" s="1"/>
  <c r="B44" i="30"/>
  <c r="B45" i="30" s="1"/>
  <c r="F4" i="28"/>
  <c r="F39" i="28" s="1"/>
  <c r="B44" i="28" s="1"/>
  <c r="B45" i="28" s="1"/>
  <c r="B48" i="18"/>
  <c r="B47" i="18"/>
  <c r="B49" i="18"/>
  <c r="B47" i="16"/>
  <c r="B48" i="16"/>
  <c r="B49" i="16"/>
  <c r="B49" i="20"/>
  <c r="B48" i="20"/>
  <c r="B47" i="20"/>
  <c r="B48" i="24"/>
  <c r="B49" i="24"/>
  <c r="B47" i="24"/>
  <c r="I4" i="32"/>
  <c r="G49" i="6"/>
  <c r="B46" i="6" s="1"/>
  <c r="B48" i="6" s="1"/>
  <c r="G49" i="4"/>
  <c r="G49" i="2"/>
  <c r="B46" i="2" s="1"/>
  <c r="B48" i="2" s="1"/>
  <c r="G49" i="1"/>
  <c r="B46" i="1" s="1"/>
  <c r="G49" i="7"/>
  <c r="B46" i="7" s="1"/>
  <c r="B48" i="7" s="1"/>
  <c r="G49" i="5"/>
  <c r="B46" i="5" s="1"/>
  <c r="B48" i="5" s="1"/>
  <c r="B46" i="4" l="1"/>
  <c r="B48" i="4" s="1"/>
  <c r="B58" i="32"/>
  <c r="D58" i="32" s="1"/>
  <c r="D59" i="32" s="1"/>
  <c r="D60" i="32" s="1"/>
  <c r="D61" i="32" s="1"/>
  <c r="D62" i="32" s="1"/>
  <c r="D63" i="32" s="1"/>
  <c r="D64" i="32" s="1"/>
  <c r="D65" i="32" s="1"/>
  <c r="D66" i="32" s="1"/>
  <c r="D67" i="32" s="1"/>
  <c r="D68" i="32" s="1"/>
  <c r="D69" i="32" s="1"/>
  <c r="D70" i="32" s="1"/>
  <c r="D71" i="32" s="1"/>
  <c r="D72" i="32" s="1"/>
  <c r="D73" i="32" s="1"/>
  <c r="D74" i="32" s="1"/>
  <c r="D75" i="32" s="1"/>
  <c r="D76" i="32" s="1"/>
  <c r="D77" i="32" s="1"/>
  <c r="D78" i="32" s="1"/>
  <c r="D79" i="32" s="1"/>
  <c r="D80" i="32" s="1"/>
  <c r="D81" i="32" s="1"/>
  <c r="D82" i="32" s="1"/>
  <c r="D83" i="32" s="1"/>
  <c r="D84" i="32" s="1"/>
  <c r="D85" i="32" s="1"/>
  <c r="D86" i="32" s="1"/>
  <c r="F34" i="1"/>
  <c r="F34" i="32" s="1"/>
  <c r="G34" i="32"/>
  <c r="F26" i="1"/>
  <c r="G26" i="32"/>
  <c r="F22" i="1"/>
  <c r="F22" i="32" s="1"/>
  <c r="G22" i="32"/>
  <c r="F18" i="1"/>
  <c r="F18" i="32" s="1"/>
  <c r="G18" i="32"/>
  <c r="F14" i="1"/>
  <c r="F14" i="32" s="1"/>
  <c r="G14" i="32"/>
  <c r="F10" i="1"/>
  <c r="F10" i="32" s="1"/>
  <c r="G10" i="32"/>
  <c r="F6" i="1"/>
  <c r="G6" i="32"/>
  <c r="H33" i="32"/>
  <c r="I39" i="32"/>
  <c r="H25" i="32"/>
  <c r="B48" i="12"/>
  <c r="B49" i="12"/>
  <c r="B47" i="12"/>
  <c r="H7" i="32"/>
  <c r="F6" i="13"/>
  <c r="F39" i="13" s="1"/>
  <c r="B44" i="13" s="1"/>
  <c r="B45" i="13" s="1"/>
  <c r="F32" i="1"/>
  <c r="F32" i="32" s="1"/>
  <c r="G32" i="32"/>
  <c r="F30" i="1"/>
  <c r="F30" i="32" s="1"/>
  <c r="G30" i="32"/>
  <c r="F24" i="1"/>
  <c r="F24" i="32" s="1"/>
  <c r="G24" i="32"/>
  <c r="F16" i="1"/>
  <c r="F16" i="32" s="1"/>
  <c r="G16" i="32"/>
  <c r="F8" i="1"/>
  <c r="F8" i="32" s="1"/>
  <c r="G8" i="32"/>
  <c r="H37" i="32"/>
  <c r="H35" i="32"/>
  <c r="H31" i="32"/>
  <c r="H29" i="32"/>
  <c r="H27" i="32"/>
  <c r="H23" i="32"/>
  <c r="H19" i="32"/>
  <c r="H15" i="32"/>
  <c r="H11" i="32"/>
  <c r="F5" i="22"/>
  <c r="F39" i="22" s="1"/>
  <c r="B44" i="22" s="1"/>
  <c r="B45" i="22" s="1"/>
  <c r="F26" i="10"/>
  <c r="F39" i="10" s="1"/>
  <c r="B44" i="10" s="1"/>
  <c r="B45" i="10" s="1"/>
  <c r="F38" i="1"/>
  <c r="F38" i="32" s="1"/>
  <c r="G38" i="32"/>
  <c r="F36" i="1"/>
  <c r="F36" i="32" s="1"/>
  <c r="G36" i="32"/>
  <c r="F28" i="1"/>
  <c r="F28" i="32" s="1"/>
  <c r="G28" i="32"/>
  <c r="F20" i="1"/>
  <c r="F20" i="32" s="1"/>
  <c r="G20" i="32"/>
  <c r="F12" i="1"/>
  <c r="F12" i="32" s="1"/>
  <c r="G12" i="32"/>
  <c r="F5" i="26"/>
  <c r="F39" i="26" s="1"/>
  <c r="B44" i="26" s="1"/>
  <c r="B45" i="26" s="1"/>
  <c r="H21" i="32"/>
  <c r="H17" i="32"/>
  <c r="H13" i="32"/>
  <c r="H9" i="32"/>
  <c r="H5" i="32"/>
  <c r="B48" i="19"/>
  <c r="B47" i="19"/>
  <c r="B49" i="19"/>
  <c r="B49" i="14"/>
  <c r="B47" i="14"/>
  <c r="B48" i="14"/>
  <c r="B48" i="15"/>
  <c r="B49" i="15"/>
  <c r="B47" i="15"/>
  <c r="B49" i="28"/>
  <c r="B48" i="28"/>
  <c r="B47" i="28"/>
  <c r="B47" i="30"/>
  <c r="B48" i="30"/>
  <c r="B49" i="30"/>
  <c r="H4" i="32"/>
  <c r="B47" i="7"/>
  <c r="B49" i="7"/>
  <c r="B47" i="5"/>
  <c r="B49" i="5"/>
  <c r="B47" i="3"/>
  <c r="B49" i="3"/>
  <c r="B49" i="4"/>
  <c r="B47" i="4"/>
  <c r="B47" i="2"/>
  <c r="B49" i="2"/>
  <c r="B49" i="26" l="1"/>
  <c r="B48" i="26"/>
  <c r="B47" i="26"/>
  <c r="B48" i="10"/>
  <c r="B49" i="10"/>
  <c r="B47" i="10"/>
  <c r="B49" i="22"/>
  <c r="B47" i="22"/>
  <c r="B48" i="22"/>
  <c r="B49" i="13"/>
  <c r="B48" i="13"/>
  <c r="B47" i="13"/>
  <c r="F25" i="1"/>
  <c r="F25" i="32" s="1"/>
  <c r="G25" i="32"/>
  <c r="H39" i="32"/>
  <c r="F5" i="1"/>
  <c r="G5" i="32"/>
  <c r="F9" i="1"/>
  <c r="F9" i="32" s="1"/>
  <c r="G9" i="32"/>
  <c r="F13" i="1"/>
  <c r="F13" i="32" s="1"/>
  <c r="G13" i="32"/>
  <c r="F17" i="1"/>
  <c r="F17" i="32" s="1"/>
  <c r="G17" i="32"/>
  <c r="F21" i="1"/>
  <c r="F21" i="32" s="1"/>
  <c r="G21" i="32"/>
  <c r="F11" i="1"/>
  <c r="F11" i="32" s="1"/>
  <c r="G11" i="32"/>
  <c r="F15" i="1"/>
  <c r="F15" i="32" s="1"/>
  <c r="G15" i="32"/>
  <c r="F19" i="1"/>
  <c r="F19" i="32" s="1"/>
  <c r="G19" i="32"/>
  <c r="F23" i="1"/>
  <c r="F23" i="32" s="1"/>
  <c r="G23" i="32"/>
  <c r="F27" i="1"/>
  <c r="F27" i="32" s="1"/>
  <c r="G27" i="32"/>
  <c r="F29" i="1"/>
  <c r="F29" i="32" s="1"/>
  <c r="G29" i="32"/>
  <c r="F31" i="1"/>
  <c r="F31" i="32" s="1"/>
  <c r="G31" i="32"/>
  <c r="F35" i="1"/>
  <c r="F35" i="32" s="1"/>
  <c r="G35" i="32"/>
  <c r="F37" i="1"/>
  <c r="F37" i="32" s="1"/>
  <c r="G37" i="32"/>
  <c r="F39" i="25"/>
  <c r="B44" i="25" s="1"/>
  <c r="B45" i="25" s="1"/>
  <c r="F5" i="21"/>
  <c r="F39" i="21" s="1"/>
  <c r="B44" i="21" s="1"/>
  <c r="B45" i="21" s="1"/>
  <c r="F7" i="1"/>
  <c r="F7" i="32" s="1"/>
  <c r="G7" i="32"/>
  <c r="F33" i="1"/>
  <c r="F33" i="32" s="1"/>
  <c r="G33" i="32"/>
  <c r="F6" i="32"/>
  <c r="F26" i="32"/>
  <c r="F4" i="1"/>
  <c r="G4" i="32"/>
  <c r="B49" i="6"/>
  <c r="B47" i="6"/>
  <c r="G39" i="32" l="1"/>
  <c r="F4" i="32"/>
  <c r="F39" i="1"/>
  <c r="B44" i="1" s="1"/>
  <c r="B45" i="1" s="1"/>
  <c r="B47" i="1" s="1"/>
  <c r="F5" i="32"/>
  <c r="B48" i="21"/>
  <c r="B47" i="21"/>
  <c r="B49" i="21"/>
  <c r="B49" i="25"/>
  <c r="B47" i="25"/>
  <c r="B48" i="25"/>
  <c r="B48" i="1"/>
  <c r="F39" i="32" l="1"/>
  <c r="B44" i="32" s="1"/>
  <c r="B45" i="32" s="1"/>
  <c r="B48" i="32" s="1"/>
  <c r="B49" i="1"/>
  <c r="B49" i="32" l="1"/>
  <c r="B47" i="32"/>
</calcChain>
</file>

<file path=xl/sharedStrings.xml><?xml version="1.0" encoding="utf-8"?>
<sst xmlns="http://schemas.openxmlformats.org/spreadsheetml/2006/main" count="2110" uniqueCount="318">
  <si>
    <t>الايرادات والمبيعات</t>
  </si>
  <si>
    <t>البيان</t>
  </si>
  <si>
    <t>المبلغ</t>
  </si>
  <si>
    <t>رقم الورديه</t>
  </si>
  <si>
    <t>التاريخ</t>
  </si>
  <si>
    <t>اليوميه</t>
  </si>
  <si>
    <t>الاجمالي</t>
  </si>
  <si>
    <t>العجز</t>
  </si>
  <si>
    <t>جزر وجرجير وليمون</t>
  </si>
  <si>
    <t>بانيه</t>
  </si>
  <si>
    <t>كبده</t>
  </si>
  <si>
    <t>لحمه</t>
  </si>
  <si>
    <t>عيش</t>
  </si>
  <si>
    <t>اجمالى مصروفات</t>
  </si>
  <si>
    <t>صاله</t>
  </si>
  <si>
    <t>تيك اوي</t>
  </si>
  <si>
    <t>ضيافه</t>
  </si>
  <si>
    <t>دليفري</t>
  </si>
  <si>
    <t>اجل</t>
  </si>
  <si>
    <t>اجمالى الايرادات</t>
  </si>
  <si>
    <t xml:space="preserve">اجل </t>
  </si>
  <si>
    <t>اجمالى المصروفات</t>
  </si>
  <si>
    <t>صافى النقدية</t>
  </si>
  <si>
    <t xml:space="preserve">جرد النقدية </t>
  </si>
  <si>
    <t>الزيادة</t>
  </si>
  <si>
    <t>الاجمالى</t>
  </si>
  <si>
    <t>فئة النقدية</t>
  </si>
  <si>
    <t>العدد</t>
  </si>
  <si>
    <t xml:space="preserve">الاجمالى </t>
  </si>
  <si>
    <t>التوازن</t>
  </si>
  <si>
    <t>خصومات</t>
  </si>
  <si>
    <t>بدل انتقالات</t>
  </si>
  <si>
    <t xml:space="preserve">مصروفات عمومية </t>
  </si>
  <si>
    <t xml:space="preserve">منظفات ومطهرات </t>
  </si>
  <si>
    <t>منظفات ومطهرات</t>
  </si>
  <si>
    <t>ضيافة</t>
  </si>
  <si>
    <t>التقرير المالى                                     7-5-2023</t>
  </si>
  <si>
    <t>رصيد خزينة مرحل</t>
  </si>
  <si>
    <t xml:space="preserve">الحلويات </t>
  </si>
  <si>
    <t xml:space="preserve">فواتير كهرباء ومياه </t>
  </si>
  <si>
    <t>انابيب الغاز</t>
  </si>
  <si>
    <t>الخزينة</t>
  </si>
  <si>
    <t>مدين</t>
  </si>
  <si>
    <t>دائن</t>
  </si>
  <si>
    <t>الرصيد</t>
  </si>
  <si>
    <t>مصاريف اخري</t>
  </si>
  <si>
    <t xml:space="preserve">مردودات المبيعات </t>
  </si>
  <si>
    <t xml:space="preserve">التاريخ </t>
  </si>
  <si>
    <t xml:space="preserve">وارد </t>
  </si>
  <si>
    <t xml:space="preserve">منصرف </t>
  </si>
  <si>
    <t xml:space="preserve">بيان </t>
  </si>
  <si>
    <t xml:space="preserve">ملاحظات </t>
  </si>
  <si>
    <t xml:space="preserve">مدين </t>
  </si>
  <si>
    <t xml:space="preserve">دائن </t>
  </si>
  <si>
    <t xml:space="preserve">مشتريات مطعم اصل الكشري </t>
  </si>
  <si>
    <t>احدي محلات احمد كشري</t>
  </si>
  <si>
    <t>موردين مواد خام للمحل</t>
  </si>
  <si>
    <t>رصيد</t>
  </si>
  <si>
    <t>اسم المورد</t>
  </si>
  <si>
    <t>الحاج حمدي حسين</t>
  </si>
  <si>
    <t>10شيكارة ×190ج</t>
  </si>
  <si>
    <t>حمص</t>
  </si>
  <si>
    <t xml:space="preserve">نبيل شعبان </t>
  </si>
  <si>
    <t>مشال وارضية</t>
  </si>
  <si>
    <t>1//6/2023</t>
  </si>
  <si>
    <t xml:space="preserve">جرجير+ليمون </t>
  </si>
  <si>
    <t xml:space="preserve">شحن كارت الكهرباء </t>
  </si>
  <si>
    <t xml:space="preserve">فلفل رومي اخضر </t>
  </si>
  <si>
    <t xml:space="preserve">عيش </t>
  </si>
  <si>
    <t>2انبوبة غاز</t>
  </si>
  <si>
    <t>1كيلو اكياس حليب</t>
  </si>
  <si>
    <t xml:space="preserve">حلويات </t>
  </si>
  <si>
    <t>سكر</t>
  </si>
  <si>
    <t xml:space="preserve">ناصر سيد </t>
  </si>
  <si>
    <t xml:space="preserve">محمد ممدوح </t>
  </si>
  <si>
    <t>احمد يوسف</t>
  </si>
  <si>
    <t>شهاب مجدي</t>
  </si>
  <si>
    <t xml:space="preserve">احمد عيد معمل </t>
  </si>
  <si>
    <t>شعبان احمد معمل</t>
  </si>
  <si>
    <t xml:space="preserve">انس احمد </t>
  </si>
  <si>
    <t xml:space="preserve">يوسف استيور </t>
  </si>
  <si>
    <t>عبد الحميد</t>
  </si>
  <si>
    <t xml:space="preserve">محمد الزاوي </t>
  </si>
  <si>
    <t xml:space="preserve">حسين دليفري </t>
  </si>
  <si>
    <t xml:space="preserve">ابو حازم </t>
  </si>
  <si>
    <t xml:space="preserve">سلفة الشيف عمرو </t>
  </si>
  <si>
    <t xml:space="preserve">عبد الرحمن كونتر </t>
  </si>
  <si>
    <t xml:space="preserve">بندق معمل </t>
  </si>
  <si>
    <t xml:space="preserve">محمد سيف </t>
  </si>
  <si>
    <t>زيادة بالنقدية 16ج</t>
  </si>
  <si>
    <t xml:space="preserve">شاي +سكر </t>
  </si>
  <si>
    <t>صابون سائل + سلك مواعين</t>
  </si>
  <si>
    <t xml:space="preserve">بيرسول </t>
  </si>
  <si>
    <t>انس احمد</t>
  </si>
  <si>
    <t>احمد عيد معمل</t>
  </si>
  <si>
    <t>عبد الحميد معمل</t>
  </si>
  <si>
    <t xml:space="preserve">شعبان احمد معمل </t>
  </si>
  <si>
    <t>يوسف استيور</t>
  </si>
  <si>
    <t>بندق معمل</t>
  </si>
  <si>
    <t>محمد الزاوي</t>
  </si>
  <si>
    <t>محمد سيف</t>
  </si>
  <si>
    <t>حسين دليفري</t>
  </si>
  <si>
    <t>عبد الرحمن كونتر</t>
  </si>
  <si>
    <t xml:space="preserve">طاجن فراخ </t>
  </si>
  <si>
    <t>طاجن كبدة موزاريلا</t>
  </si>
  <si>
    <t xml:space="preserve">كمية </t>
  </si>
  <si>
    <t xml:space="preserve">مبلغ السلفة </t>
  </si>
  <si>
    <t xml:space="preserve">اسم العامل </t>
  </si>
  <si>
    <t>اجمالي الراتب</t>
  </si>
  <si>
    <t>صافي الراتب</t>
  </si>
  <si>
    <t xml:space="preserve">الشيف عمرو </t>
  </si>
  <si>
    <t>جرجير + ليمون + جزر</t>
  </si>
  <si>
    <t>شحن كارت الكهرباء</t>
  </si>
  <si>
    <t xml:space="preserve">سجاير الحاج احمد كشري </t>
  </si>
  <si>
    <t xml:space="preserve">سلك مواعين </t>
  </si>
  <si>
    <t xml:space="preserve">توصيل للموقع </t>
  </si>
  <si>
    <t xml:space="preserve">5اكياس معالق </t>
  </si>
  <si>
    <t xml:space="preserve">شهاب مجدي </t>
  </si>
  <si>
    <t>ناصر سيد</t>
  </si>
  <si>
    <t>الزاوي</t>
  </si>
  <si>
    <t xml:space="preserve">محمد استيور </t>
  </si>
  <si>
    <t xml:space="preserve">شعبان معمل </t>
  </si>
  <si>
    <t xml:space="preserve">جرجير + ليمون </t>
  </si>
  <si>
    <t xml:space="preserve">خل </t>
  </si>
  <si>
    <t xml:space="preserve">3انبوبة غاز </t>
  </si>
  <si>
    <t xml:space="preserve">توصيل الموقع </t>
  </si>
  <si>
    <t xml:space="preserve">الزاوي </t>
  </si>
  <si>
    <t xml:space="preserve">عبد الحميد </t>
  </si>
  <si>
    <t>زيادة بالنقدية 20ج</t>
  </si>
  <si>
    <t xml:space="preserve">جزر +جرجير + ليمون </t>
  </si>
  <si>
    <t>فلفل رومي</t>
  </si>
  <si>
    <t>3حليب</t>
  </si>
  <si>
    <t xml:space="preserve">فانليا </t>
  </si>
  <si>
    <t xml:space="preserve">علبة كريمة </t>
  </si>
  <si>
    <t xml:space="preserve">سكر </t>
  </si>
  <si>
    <t xml:space="preserve">بندق </t>
  </si>
  <si>
    <t>محمد اسماعيل دليفري</t>
  </si>
  <si>
    <t xml:space="preserve">بند معمل </t>
  </si>
  <si>
    <t>يوجد عجز 25ج بسبب 1 طاجن فراخ للقياتي ولم يسدد</t>
  </si>
  <si>
    <t xml:space="preserve">بيريل </t>
  </si>
  <si>
    <t xml:space="preserve">2خازوق للورديات </t>
  </si>
  <si>
    <t xml:space="preserve">3حليب </t>
  </si>
  <si>
    <t xml:space="preserve">علب حلويات </t>
  </si>
  <si>
    <t xml:space="preserve">3انبوب غاز </t>
  </si>
  <si>
    <t xml:space="preserve">ارز </t>
  </si>
  <si>
    <t xml:space="preserve">محمد اسماعيل دليفري </t>
  </si>
  <si>
    <t xml:space="preserve">احمد يوسف </t>
  </si>
  <si>
    <t xml:space="preserve"> عجز 25ج </t>
  </si>
  <si>
    <t>عجز 30ج</t>
  </si>
  <si>
    <t xml:space="preserve">طاجن كبدة </t>
  </si>
  <si>
    <t xml:space="preserve">سعر </t>
  </si>
  <si>
    <t xml:space="preserve">مبلغ </t>
  </si>
  <si>
    <t xml:space="preserve">طاجن فراخ موزاريلا </t>
  </si>
  <si>
    <t xml:space="preserve">كمية المواد الخام خلال الفترة </t>
  </si>
  <si>
    <t xml:space="preserve">كبدة </t>
  </si>
  <si>
    <t xml:space="preserve">فراخ </t>
  </si>
  <si>
    <t xml:space="preserve">مكرونة خرز </t>
  </si>
  <si>
    <t>50شيكارة×185ج</t>
  </si>
  <si>
    <t xml:space="preserve">مكررونة اسباكتي </t>
  </si>
  <si>
    <t>10شيكارة ×185ج</t>
  </si>
  <si>
    <t>شعرية</t>
  </si>
  <si>
    <t>2شيكارة ×185ج</t>
  </si>
  <si>
    <t xml:space="preserve">عدس </t>
  </si>
  <si>
    <t>1شيكارة ×850ج</t>
  </si>
  <si>
    <t xml:space="preserve">مكرونة قلم فرن </t>
  </si>
  <si>
    <t>1شيكارة ×1125ج</t>
  </si>
  <si>
    <t xml:space="preserve">ترسيكل  لنقل البضاعة </t>
  </si>
  <si>
    <t xml:space="preserve">نصف كيلو فلفل الوان </t>
  </si>
  <si>
    <t xml:space="preserve">2انبوبة غاز </t>
  </si>
  <si>
    <t xml:space="preserve">توصيل الي بيت الحاج </t>
  </si>
  <si>
    <t xml:space="preserve">2كرتونة مياة </t>
  </si>
  <si>
    <t xml:space="preserve">2يومية محمد سيف </t>
  </si>
  <si>
    <t xml:space="preserve">2يومية عبد الرحمن كونتر </t>
  </si>
  <si>
    <t xml:space="preserve">2يومية ابو حازم </t>
  </si>
  <si>
    <t xml:space="preserve">محمود البحار لم يسجل علي السيستم </t>
  </si>
  <si>
    <t>57مرحلة من يوم 6-6</t>
  </si>
  <si>
    <t>14ك×115ج</t>
  </si>
  <si>
    <t>21ك×135ج</t>
  </si>
  <si>
    <t xml:space="preserve">الاجمالي </t>
  </si>
  <si>
    <t xml:space="preserve">اجل الجمعية </t>
  </si>
  <si>
    <t xml:space="preserve">المبلغ </t>
  </si>
  <si>
    <t xml:space="preserve">الاسم </t>
  </si>
  <si>
    <t>الحصان</t>
  </si>
  <si>
    <t xml:space="preserve">جمعية </t>
  </si>
  <si>
    <t xml:space="preserve">المتبقي من الفاتورة </t>
  </si>
  <si>
    <t>3ك×115ج</t>
  </si>
  <si>
    <t>8ك×150ج</t>
  </si>
  <si>
    <t>24ك×115ج</t>
  </si>
  <si>
    <t>20ك×150ج</t>
  </si>
  <si>
    <t xml:space="preserve">جزر +جرجير +ليمون +فلفل </t>
  </si>
  <si>
    <t xml:space="preserve">عيش شامي للتوست </t>
  </si>
  <si>
    <t xml:space="preserve">عيش  </t>
  </si>
  <si>
    <t xml:space="preserve">5انابيب غاز </t>
  </si>
  <si>
    <t xml:space="preserve">يوسف كشري </t>
  </si>
  <si>
    <t>زيادة يالنقدية 20ج</t>
  </si>
  <si>
    <t xml:space="preserve">تركيب زجاج </t>
  </si>
  <si>
    <t xml:space="preserve">علب </t>
  </si>
  <si>
    <t xml:space="preserve">حليب </t>
  </si>
  <si>
    <t>عجز 138ج</t>
  </si>
  <si>
    <t xml:space="preserve">10عديات طماطم </t>
  </si>
  <si>
    <t xml:space="preserve">مبلغ تحت الصرف </t>
  </si>
  <si>
    <t xml:space="preserve">سداد ح/ الطماطم </t>
  </si>
  <si>
    <t>سداد الفاتورة بالكامل سند صرف 914</t>
  </si>
  <si>
    <t>سداد جزء من الفاتورة سند صرف 906</t>
  </si>
  <si>
    <t>سداد جزء من الفاتورة سند صرف 894</t>
  </si>
  <si>
    <t xml:space="preserve">كمون </t>
  </si>
  <si>
    <t xml:space="preserve">فلفل اسود </t>
  </si>
  <si>
    <t xml:space="preserve">قرفة ناعمة </t>
  </si>
  <si>
    <t xml:space="preserve">كزبرة </t>
  </si>
  <si>
    <t xml:space="preserve">حبهان </t>
  </si>
  <si>
    <t xml:space="preserve">بلح </t>
  </si>
  <si>
    <t xml:space="preserve">شطة </t>
  </si>
  <si>
    <t xml:space="preserve">توابل كشري </t>
  </si>
  <si>
    <t xml:space="preserve">5ك كمون ×250ج </t>
  </si>
  <si>
    <t>5ك فلفل اسود ×170ج</t>
  </si>
  <si>
    <t>5كقرفة ناعمة ×140ج</t>
  </si>
  <si>
    <t>5ك ×70ج</t>
  </si>
  <si>
    <t>1ك×400ج</t>
  </si>
  <si>
    <t>1/2ك×240</t>
  </si>
  <si>
    <t>25ك×50ج</t>
  </si>
  <si>
    <t>1ك×250ج</t>
  </si>
  <si>
    <t xml:space="preserve">تريسكل </t>
  </si>
  <si>
    <t>سداد فاتورة التوابل سند صرف 920</t>
  </si>
  <si>
    <t xml:space="preserve">جرجير + ليمون + جزر + فلفل </t>
  </si>
  <si>
    <t xml:space="preserve">4انبوبة غاز </t>
  </si>
  <si>
    <t xml:space="preserve">باقي راتب شهر 5-2023 الشيف عمرو </t>
  </si>
  <si>
    <t>ابو حازم</t>
  </si>
  <si>
    <t>حسين دليفر</t>
  </si>
  <si>
    <t xml:space="preserve">سلفة احمد عيد كاشير </t>
  </si>
  <si>
    <t xml:space="preserve">انتقالات </t>
  </si>
  <si>
    <t xml:space="preserve">ليمون + جزر </t>
  </si>
  <si>
    <t xml:space="preserve">ملح </t>
  </si>
  <si>
    <t xml:space="preserve">شاي </t>
  </si>
  <si>
    <t xml:space="preserve">جزر + ليمون +جرجير </t>
  </si>
  <si>
    <t xml:space="preserve">مرقة دجاج للتوست </t>
  </si>
  <si>
    <t xml:space="preserve">4انابيب غاز </t>
  </si>
  <si>
    <t>مصاريف سباكة</t>
  </si>
  <si>
    <t xml:space="preserve">عبدو كونتر </t>
  </si>
  <si>
    <t xml:space="preserve">جرجير + ليمون +جزر </t>
  </si>
  <si>
    <t xml:space="preserve">4لتر حليب </t>
  </si>
  <si>
    <t xml:space="preserve">2سكر </t>
  </si>
  <si>
    <t xml:space="preserve">كاستر </t>
  </si>
  <si>
    <t xml:space="preserve">محمد محمود </t>
  </si>
  <si>
    <t xml:space="preserve">احمد عيد كاشير </t>
  </si>
  <si>
    <t xml:space="preserve">زيادة 200ج </t>
  </si>
  <si>
    <t>عجز 395ج</t>
  </si>
  <si>
    <t xml:space="preserve">نظافة زجاج شهري </t>
  </si>
  <si>
    <t>سلك</t>
  </si>
  <si>
    <t xml:space="preserve">3انابيب غاز </t>
  </si>
  <si>
    <t>انتقالات</t>
  </si>
  <si>
    <t xml:space="preserve">فلفل وزيتون </t>
  </si>
  <si>
    <t xml:space="preserve">بريل مواعين </t>
  </si>
  <si>
    <t>نظافة زجاج</t>
  </si>
  <si>
    <t xml:space="preserve">انس </t>
  </si>
  <si>
    <t>الشيف عمرو</t>
  </si>
  <si>
    <t>هذه اليومية تحتوي علي يوميتان 15-6-2023 و 16-6-2023</t>
  </si>
  <si>
    <t>14/6/203</t>
  </si>
  <si>
    <t>يوميتين 15و16 /2023</t>
  </si>
  <si>
    <t>شيك ملغي ولم يحذف</t>
  </si>
  <si>
    <t xml:space="preserve">جرجير + ليمون + جزر </t>
  </si>
  <si>
    <t xml:space="preserve">صابون سائل </t>
  </si>
  <si>
    <t xml:space="preserve">توصييل الي البيت </t>
  </si>
  <si>
    <t xml:space="preserve">اكياس حليب </t>
  </si>
  <si>
    <t>15.16/6/2023</t>
  </si>
  <si>
    <t xml:space="preserve">غزة الحصان </t>
  </si>
  <si>
    <t>اجمالي الكمية</t>
  </si>
  <si>
    <t xml:space="preserve">الكمية الفعلية </t>
  </si>
  <si>
    <t xml:space="preserve">الكمية التقديرة </t>
  </si>
  <si>
    <t>6ك×145ج</t>
  </si>
  <si>
    <t xml:space="preserve">شاي للعاملين ببناء المخزن </t>
  </si>
  <si>
    <t xml:space="preserve">عيش للتوست </t>
  </si>
  <si>
    <t xml:space="preserve">2انوبة غاز </t>
  </si>
  <si>
    <t xml:space="preserve">جرجير + جزر +ليمون </t>
  </si>
  <si>
    <t>مواصلات</t>
  </si>
  <si>
    <t xml:space="preserve">فيشة كهرباء للمخزن </t>
  </si>
  <si>
    <t xml:space="preserve">باقي ح/ 6انابيب غاز </t>
  </si>
  <si>
    <t>محمد ممدوح</t>
  </si>
  <si>
    <t>جرجير + ليمون +جزر</t>
  </si>
  <si>
    <t xml:space="preserve">اجرة تريسكل </t>
  </si>
  <si>
    <t>8ك×140ج</t>
  </si>
  <si>
    <t xml:space="preserve">جرجير+ ليمون </t>
  </si>
  <si>
    <t>صابون سائل</t>
  </si>
  <si>
    <t>جرجير +ليمون +جزر</t>
  </si>
  <si>
    <t>7انابيب غاز</t>
  </si>
  <si>
    <t xml:space="preserve">عيش توست </t>
  </si>
  <si>
    <t>27ك×140ج</t>
  </si>
  <si>
    <t>15ك×115ج</t>
  </si>
  <si>
    <t>6ك ×115ج</t>
  </si>
  <si>
    <t xml:space="preserve">جرجير +ليمون </t>
  </si>
  <si>
    <t>محمد استيور</t>
  </si>
  <si>
    <t>جرجير +جزر +ليمون</t>
  </si>
  <si>
    <t>دستة بكرة كاشير</t>
  </si>
  <si>
    <t>كيس جبنة موزريلا</t>
  </si>
  <si>
    <t xml:space="preserve">مواصلات </t>
  </si>
  <si>
    <t>اسبنشة</t>
  </si>
  <si>
    <t>كلور</t>
  </si>
  <si>
    <t>مقاشات</t>
  </si>
  <si>
    <t>يومية + عدية شهاب مجدي</t>
  </si>
  <si>
    <t>محمد استيو ر</t>
  </si>
  <si>
    <t>اجازة عيد اضحي</t>
  </si>
  <si>
    <t xml:space="preserve">بريل </t>
  </si>
  <si>
    <t xml:space="preserve">اجازة عيد الاضحي </t>
  </si>
  <si>
    <t>عيدية ناصر سيد</t>
  </si>
  <si>
    <t xml:space="preserve">عيدية محمود البحار </t>
  </si>
  <si>
    <t xml:space="preserve">عيدية عبدو كونتر </t>
  </si>
  <si>
    <t xml:space="preserve">عيدية احمد عيد معمل </t>
  </si>
  <si>
    <t>عيدية انس احمد</t>
  </si>
  <si>
    <t>عيدية يوسف استيور</t>
  </si>
  <si>
    <t xml:space="preserve">عيدية الشيف عمرو </t>
  </si>
  <si>
    <t>عيدية محمد سيف</t>
  </si>
  <si>
    <t>عيدية احمد يوسف</t>
  </si>
  <si>
    <t xml:space="preserve">عيدية محمد ممدوح </t>
  </si>
  <si>
    <t xml:space="preserve">عيدية + يومية شعبان معمل </t>
  </si>
  <si>
    <t xml:space="preserve">عيدية + يومية محمد محمود </t>
  </si>
  <si>
    <t>احمد يوسف  يومية 29</t>
  </si>
  <si>
    <t>25ك</t>
  </si>
  <si>
    <t>12ك</t>
  </si>
  <si>
    <t xml:space="preserve">صفر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</si>
</sst>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(* #,##0.00_);_(* \(#,##0.00\);_(* &quot;-&quot;??_);_(@_)"/>
    <numFmt numFmtId="165" formatCode="_(* #,##0.0_);_(* \(#,##0.0\);_(* &quot;-&quot;??_);_(@_)"/>
    <numFmt numFmtId="166" formatCode="_(* #,##0.0_);_(* \(#,##0.0\);_(* &quot;-&quot;?_);_(@_)"/>
    <numFmt numFmtId="167" formatCode="_(* #,##0_);_(* \(#,##0\);_(* &quot;-&quot;??_);_(@_)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8"/>
      <color theme="1"/>
      <name val="Aldhabi"/>
    </font>
    <font>
      <b/>
      <sz val="28"/>
      <color indexed="8"/>
      <name val="Aldhabi"/>
    </font>
    <font>
      <b/>
      <sz val="16"/>
      <color theme="1"/>
      <name val="Times New Roman"/>
      <family val="1"/>
    </font>
    <font>
      <b/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gradientFill degree="90">
        <stop position="0">
          <color theme="0"/>
        </stop>
        <stop position="0.5">
          <color theme="9" tint="0.40000610370189521"/>
        </stop>
        <stop position="1">
          <color theme="0"/>
        </stop>
      </gradient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 style="thick">
        <color auto="1"/>
      </top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medium">
        <color theme="1"/>
      </left>
      <right style="thin">
        <color theme="8" tint="-0.499984740745262"/>
      </right>
      <top style="medium">
        <color theme="1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medium">
        <color theme="1"/>
      </top>
      <bottom style="thin">
        <color theme="8" tint="-0.499984740745262"/>
      </bottom>
      <diagonal/>
    </border>
    <border>
      <left style="thin">
        <color theme="8" tint="-0.499984740745262"/>
      </left>
      <right style="medium">
        <color theme="1"/>
      </right>
      <top style="medium">
        <color theme="1"/>
      </top>
      <bottom style="thin">
        <color theme="8" tint="-0.499984740745262"/>
      </bottom>
      <diagonal/>
    </border>
    <border>
      <left style="medium">
        <color theme="1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medium">
        <color theme="1"/>
      </right>
      <top style="thin">
        <color theme="8" tint="-0.499984740745262"/>
      </top>
      <bottom style="thin">
        <color theme="8" tint="-0.499984740745262"/>
      </bottom>
      <diagonal/>
    </border>
    <border>
      <left style="medium">
        <color theme="1"/>
      </left>
      <right style="thin">
        <color theme="8" tint="-0.499984740745262"/>
      </right>
      <top style="thin">
        <color theme="8" tint="-0.499984740745262"/>
      </top>
      <bottom style="medium">
        <color theme="1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medium">
        <color theme="1"/>
      </bottom>
      <diagonal/>
    </border>
    <border>
      <left style="thin">
        <color theme="8" tint="-0.499984740745262"/>
      </left>
      <right style="medium">
        <color theme="1"/>
      </right>
      <top style="thin">
        <color theme="8" tint="-0.499984740745262"/>
      </top>
      <bottom style="medium">
        <color theme="1"/>
      </bottom>
      <diagonal/>
    </border>
    <border>
      <left style="thin">
        <color theme="8" tint="-0.499984740745262"/>
      </left>
      <right/>
      <top style="medium">
        <color theme="1"/>
      </top>
      <bottom style="thin">
        <color theme="8" tint="-0.499984740745262"/>
      </bottom>
      <diagonal/>
    </border>
    <border>
      <left/>
      <right/>
      <top/>
      <bottom style="medium">
        <color theme="1"/>
      </bottom>
      <diagonal/>
    </border>
    <border>
      <left style="thin">
        <color theme="8" tint="-0.499984740745262"/>
      </left>
      <right/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/>
      <top style="thin">
        <color theme="8" tint="-0.499984740745262"/>
      </top>
      <bottom style="medium">
        <color theme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/>
      <right style="thin">
        <color indexed="64"/>
      </right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theme="3" tint="-0.249977111117893"/>
      </left>
      <right style="thin">
        <color indexed="64"/>
      </right>
      <top style="medium">
        <color theme="3" tint="-0.249977111117893"/>
      </top>
      <bottom/>
      <diagonal/>
    </border>
    <border>
      <left style="thin">
        <color indexed="64"/>
      </left>
      <right/>
      <top style="medium">
        <color theme="3" tint="-0.249977111117893"/>
      </top>
      <bottom style="thin">
        <color indexed="64"/>
      </bottom>
      <diagonal/>
    </border>
    <border>
      <left/>
      <right/>
      <top style="medium">
        <color theme="3" tint="-0.249977111117893"/>
      </top>
      <bottom style="thin">
        <color indexed="64"/>
      </bottom>
      <diagonal/>
    </border>
    <border>
      <left/>
      <right style="thin">
        <color indexed="64"/>
      </right>
      <top style="medium">
        <color theme="3" tint="-0.249977111117893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3" tint="-0.249977111117893"/>
      </top>
      <bottom style="thin">
        <color indexed="64"/>
      </bottom>
      <diagonal/>
    </border>
    <border>
      <left style="thin">
        <color indexed="64"/>
      </left>
      <right style="medium">
        <color theme="3" tint="-0.249977111117893"/>
      </right>
      <top style="medium">
        <color theme="3" tint="-0.249977111117893"/>
      </top>
      <bottom style="thin">
        <color indexed="64"/>
      </bottom>
      <diagonal/>
    </border>
    <border>
      <left style="medium">
        <color theme="3" tint="-0.249977111117893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theme="3" tint="-0.249977111117893"/>
      </right>
      <top style="thin">
        <color indexed="64"/>
      </top>
      <bottom style="thin">
        <color indexed="64"/>
      </bottom>
      <diagonal/>
    </border>
    <border>
      <left style="medium">
        <color theme="3" tint="-0.24997711111789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3" tint="-0.249977111117893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theme="3" tint="-0.249977111117893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8" tint="-0.499984740745262"/>
      </left>
      <right style="thin">
        <color theme="8" tint="-0.499984740745262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204">
    <xf numFmtId="0" fontId="0" fillId="0" borderId="0" xfId="0"/>
    <xf numFmtId="0" fontId="1" fillId="0" borderId="0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64" fontId="3" fillId="0" borderId="8" xfId="1" applyFont="1" applyBorder="1" applyAlignment="1">
      <alignment horizontal="center" vertical="center"/>
    </xf>
    <xf numFmtId="164" fontId="3" fillId="0" borderId="1" xfId="1" applyFont="1" applyBorder="1" applyAlignment="1">
      <alignment horizontal="center" vertical="center"/>
    </xf>
    <xf numFmtId="164" fontId="3" fillId="0" borderId="9" xfId="1" applyFont="1" applyBorder="1" applyAlignment="1">
      <alignment horizontal="center" vertical="center"/>
    </xf>
    <xf numFmtId="164" fontId="3" fillId="0" borderId="12" xfId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/>
    <xf numFmtId="165" fontId="3" fillId="0" borderId="1" xfId="1" applyNumberFormat="1" applyFont="1" applyBorder="1" applyAlignment="1">
      <alignment vertical="center"/>
    </xf>
    <xf numFmtId="165" fontId="3" fillId="0" borderId="9" xfId="1" applyNumberFormat="1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164" fontId="4" fillId="0" borderId="1" xfId="1" applyFont="1" applyBorder="1" applyAlignment="1">
      <alignment horizontal="center" vertical="center"/>
    </xf>
    <xf numFmtId="0" fontId="0" fillId="0" borderId="1" xfId="0" applyBorder="1"/>
    <xf numFmtId="164" fontId="0" fillId="0" borderId="0" xfId="0" applyNumberFormat="1"/>
    <xf numFmtId="0" fontId="6" fillId="0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167" fontId="3" fillId="0" borderId="1" xfId="1" applyNumberFormat="1" applyFont="1" applyBorder="1" applyAlignment="1">
      <alignment vertical="center"/>
    </xf>
    <xf numFmtId="0" fontId="0" fillId="0" borderId="23" xfId="0" applyBorder="1"/>
    <xf numFmtId="0" fontId="0" fillId="0" borderId="27" xfId="0" applyBorder="1"/>
    <xf numFmtId="0" fontId="0" fillId="0" borderId="28" xfId="0" applyBorder="1"/>
    <xf numFmtId="0" fontId="0" fillId="0" borderId="30" xfId="0" applyBorder="1"/>
    <xf numFmtId="0" fontId="0" fillId="0" borderId="31" xfId="0" applyBorder="1"/>
    <xf numFmtId="0" fontId="7" fillId="0" borderId="24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14" fontId="0" fillId="0" borderId="0" xfId="0" applyNumberFormat="1"/>
    <xf numFmtId="0" fontId="11" fillId="0" borderId="0" xfId="0" applyFont="1" applyBorder="1" applyAlignment="1">
      <alignment horizontal="center" vertical="center"/>
    </xf>
    <xf numFmtId="14" fontId="0" fillId="0" borderId="27" xfId="0" applyNumberFormat="1" applyBorder="1"/>
    <xf numFmtId="0" fontId="10" fillId="0" borderId="0" xfId="0" applyFont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164" fontId="0" fillId="0" borderId="30" xfId="1" applyFont="1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7" fillId="0" borderId="37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43" xfId="0" applyBorder="1"/>
    <xf numFmtId="0" fontId="0" fillId="0" borderId="44" xfId="0" applyBorder="1"/>
    <xf numFmtId="0" fontId="10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65" fontId="4" fillId="0" borderId="9" xfId="1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4" fillId="0" borderId="0" xfId="0" applyFont="1"/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14" xfId="1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14" fontId="0" fillId="0" borderId="1" xfId="0" applyNumberFormat="1" applyBorder="1"/>
    <xf numFmtId="14" fontId="4" fillId="0" borderId="1" xfId="1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" fillId="0" borderId="0" xfId="0" applyFont="1"/>
    <xf numFmtId="164" fontId="8" fillId="0" borderId="1" xfId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0" fontId="14" fillId="0" borderId="17" xfId="0" applyFont="1" applyFill="1" applyBorder="1" applyAlignment="1">
      <alignment horizontal="center" vertical="center"/>
    </xf>
    <xf numFmtId="0" fontId="14" fillId="0" borderId="18" xfId="0" applyFont="1" applyFill="1" applyBorder="1" applyAlignment="1">
      <alignment horizontal="center" vertical="center"/>
    </xf>
    <xf numFmtId="14" fontId="8" fillId="0" borderId="1" xfId="1" applyNumberFormat="1" applyFont="1" applyBorder="1" applyAlignment="1">
      <alignment horizontal="center" vertical="center"/>
    </xf>
    <xf numFmtId="164" fontId="8" fillId="0" borderId="14" xfId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3" fontId="0" fillId="0" borderId="30" xfId="0" applyNumberFormat="1" applyBorder="1"/>
    <xf numFmtId="164" fontId="13" fillId="0" borderId="1" xfId="1" applyFont="1" applyBorder="1" applyAlignment="1">
      <alignment horizontal="center" vertical="center"/>
    </xf>
    <xf numFmtId="14" fontId="3" fillId="0" borderId="1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vertical="center"/>
    </xf>
    <xf numFmtId="14" fontId="13" fillId="0" borderId="1" xfId="0" applyNumberFormat="1" applyFont="1" applyBorder="1" applyAlignment="1">
      <alignment vertical="center"/>
    </xf>
    <xf numFmtId="0" fontId="3" fillId="0" borderId="1" xfId="0" applyFont="1" applyBorder="1"/>
    <xf numFmtId="164" fontId="13" fillId="0" borderId="1" xfId="1" applyFont="1" applyFill="1" applyBorder="1" applyAlignment="1">
      <alignment horizontal="center" vertical="center"/>
    </xf>
    <xf numFmtId="164" fontId="0" fillId="2" borderId="1" xfId="1" applyFont="1" applyFill="1" applyBorder="1"/>
    <xf numFmtId="164" fontId="0" fillId="3" borderId="1" xfId="1" applyFont="1" applyFill="1" applyBorder="1"/>
    <xf numFmtId="164" fontId="0" fillId="5" borderId="1" xfId="1" applyFont="1" applyFill="1" applyBorder="1"/>
    <xf numFmtId="164" fontId="0" fillId="4" borderId="58" xfId="1" applyFont="1" applyFill="1" applyBorder="1"/>
    <xf numFmtId="0" fontId="16" fillId="0" borderId="0" xfId="0" applyFont="1" applyAlignment="1">
      <alignment vertical="center"/>
    </xf>
    <xf numFmtId="164" fontId="0" fillId="2" borderId="61" xfId="1" applyFont="1" applyFill="1" applyBorder="1"/>
    <xf numFmtId="164" fontId="0" fillId="3" borderId="61" xfId="1" applyFont="1" applyFill="1" applyBorder="1"/>
    <xf numFmtId="164" fontId="0" fillId="5" borderId="61" xfId="1" applyFont="1" applyFill="1" applyBorder="1"/>
    <xf numFmtId="164" fontId="0" fillId="4" borderId="62" xfId="1" applyFont="1" applyFill="1" applyBorder="1"/>
    <xf numFmtId="164" fontId="16" fillId="0" borderId="1" xfId="1" applyFont="1" applyBorder="1" applyAlignment="1">
      <alignment vertical="center"/>
    </xf>
    <xf numFmtId="0" fontId="8" fillId="0" borderId="30" xfId="0" applyFont="1" applyBorder="1" applyAlignment="1">
      <alignment vertical="center"/>
    </xf>
    <xf numFmtId="164" fontId="4" fillId="0" borderId="63" xfId="1" applyFont="1" applyFill="1" applyBorder="1" applyAlignment="1">
      <alignment horizontal="center" vertical="center"/>
    </xf>
    <xf numFmtId="0" fontId="13" fillId="0" borderId="2" xfId="0" applyFont="1" applyBorder="1" applyAlignment="1">
      <alignment vertical="center"/>
    </xf>
    <xf numFmtId="0" fontId="13" fillId="0" borderId="3" xfId="0" applyFont="1" applyBorder="1" applyAlignment="1">
      <alignment vertical="center"/>
    </xf>
    <xf numFmtId="0" fontId="13" fillId="0" borderId="4" xfId="0" applyFont="1" applyBorder="1" applyAlignment="1">
      <alignment vertical="center"/>
    </xf>
    <xf numFmtId="0" fontId="13" fillId="0" borderId="21" xfId="0" applyFont="1" applyBorder="1" applyAlignment="1">
      <alignment horizontal="center" vertical="center"/>
    </xf>
    <xf numFmtId="0" fontId="13" fillId="0" borderId="17" xfId="0" applyFont="1" applyFill="1" applyBorder="1" applyAlignment="1">
      <alignment horizontal="center" vertical="center"/>
    </xf>
    <xf numFmtId="0" fontId="13" fillId="0" borderId="18" xfId="0" applyFont="1" applyFill="1" applyBorder="1" applyAlignment="1">
      <alignment horizontal="center" vertical="center"/>
    </xf>
    <xf numFmtId="164" fontId="3" fillId="0" borderId="14" xfId="1" applyFont="1" applyBorder="1" applyAlignment="1">
      <alignment horizontal="center" vertical="center"/>
    </xf>
    <xf numFmtId="0" fontId="0" fillId="0" borderId="64" xfId="0" applyFill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3" fillId="0" borderId="63" xfId="1" applyFont="1" applyFill="1" applyBorder="1" applyAlignment="1">
      <alignment horizontal="center" vertical="center"/>
    </xf>
    <xf numFmtId="164" fontId="12" fillId="0" borderId="1" xfId="1" applyFont="1" applyFill="1" applyBorder="1" applyAlignment="1">
      <alignment horizontal="center" vertical="center"/>
    </xf>
    <xf numFmtId="164" fontId="0" fillId="4" borderId="1" xfId="1" applyFont="1" applyFill="1" applyBorder="1"/>
    <xf numFmtId="164" fontId="0" fillId="0" borderId="1" xfId="1" applyFont="1" applyBorder="1"/>
    <xf numFmtId="164" fontId="0" fillId="4" borderId="61" xfId="1" applyFont="1" applyFill="1" applyBorder="1"/>
    <xf numFmtId="164" fontId="8" fillId="0" borderId="1" xfId="1" applyFont="1" applyBorder="1"/>
    <xf numFmtId="14" fontId="0" fillId="0" borderId="59" xfId="1" applyNumberFormat="1" applyFont="1" applyBorder="1"/>
    <xf numFmtId="14" fontId="0" fillId="0" borderId="60" xfId="1" applyNumberFormat="1" applyFont="1" applyBorder="1"/>
    <xf numFmtId="43" fontId="0" fillId="6" borderId="0" xfId="0" applyNumberFormat="1" applyFill="1"/>
    <xf numFmtId="14" fontId="0" fillId="0" borderId="14" xfId="1" applyNumberFormat="1" applyFont="1" applyBorder="1"/>
    <xf numFmtId="164" fontId="0" fillId="7" borderId="0" xfId="1" applyFont="1" applyFill="1"/>
    <xf numFmtId="43" fontId="0" fillId="8" borderId="0" xfId="0" applyNumberFormat="1" applyFill="1"/>
    <xf numFmtId="164" fontId="12" fillId="9" borderId="1" xfId="1" applyFont="1" applyFill="1" applyBorder="1"/>
    <xf numFmtId="164" fontId="12" fillId="9" borderId="58" xfId="1" applyFont="1" applyFill="1" applyBorder="1"/>
    <xf numFmtId="0" fontId="12" fillId="0" borderId="0" xfId="0" applyFont="1"/>
    <xf numFmtId="14" fontId="12" fillId="0" borderId="1" xfId="1" applyNumberFormat="1" applyFont="1" applyBorder="1" applyAlignment="1">
      <alignment horizontal="center" vertical="center"/>
    </xf>
    <xf numFmtId="164" fontId="12" fillId="0" borderId="1" xfId="1" applyFont="1" applyBorder="1" applyAlignment="1">
      <alignment horizontal="center" vertical="center"/>
    </xf>
    <xf numFmtId="164" fontId="12" fillId="0" borderId="14" xfId="1" applyFont="1" applyBorder="1" applyAlignment="1">
      <alignment horizontal="center" vertical="center"/>
    </xf>
    <xf numFmtId="164" fontId="18" fillId="8" borderId="1" xfId="1" applyFont="1" applyFill="1" applyBorder="1" applyAlignment="1">
      <alignment horizontal="center" vertical="center"/>
    </xf>
    <xf numFmtId="164" fontId="4" fillId="8" borderId="1" xfId="1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3" fontId="0" fillId="0" borderId="0" xfId="0" applyNumberFormat="1"/>
    <xf numFmtId="0" fontId="15" fillId="0" borderId="0" xfId="0" applyFont="1" applyAlignment="1">
      <alignment wrapText="1"/>
    </xf>
    <xf numFmtId="0" fontId="14" fillId="0" borderId="1" xfId="0" applyFont="1" applyBorder="1" applyAlignment="1">
      <alignment horizontal="center" vertical="center" wrapText="1"/>
    </xf>
    <xf numFmtId="0" fontId="14" fillId="0" borderId="47" xfId="0" applyFont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center" vertical="center" wrapText="1"/>
    </xf>
    <xf numFmtId="14" fontId="15" fillId="0" borderId="1" xfId="1" applyNumberFormat="1" applyFont="1" applyBorder="1" applyAlignment="1">
      <alignment horizontal="center" vertical="center" wrapText="1"/>
    </xf>
    <xf numFmtId="164" fontId="15" fillId="0" borderId="1" xfId="1" applyFont="1" applyBorder="1" applyAlignment="1">
      <alignment horizontal="center" vertical="center" wrapText="1"/>
    </xf>
    <xf numFmtId="164" fontId="15" fillId="0" borderId="48" xfId="1" applyFont="1" applyBorder="1" applyAlignment="1">
      <alignment horizontal="center" vertical="center" wrapText="1"/>
    </xf>
    <xf numFmtId="164" fontId="15" fillId="0" borderId="15" xfId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166" fontId="15" fillId="0" borderId="0" xfId="0" applyNumberFormat="1" applyFont="1" applyBorder="1" applyAlignment="1">
      <alignment vertical="center"/>
    </xf>
    <xf numFmtId="0" fontId="15" fillId="0" borderId="0" xfId="0" applyFont="1"/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164" fontId="15" fillId="0" borderId="1" xfId="1" applyFont="1" applyBorder="1" applyAlignment="1">
      <alignment horizontal="center" vertical="center"/>
    </xf>
    <xf numFmtId="164" fontId="15" fillId="0" borderId="9" xfId="1" applyFont="1" applyBorder="1" applyAlignment="1">
      <alignment horizontal="center" vertical="center"/>
    </xf>
    <xf numFmtId="164" fontId="15" fillId="0" borderId="8" xfId="1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165" fontId="15" fillId="0" borderId="0" xfId="0" applyNumberFormat="1" applyFont="1"/>
    <xf numFmtId="165" fontId="15" fillId="0" borderId="1" xfId="1" applyNumberFormat="1" applyFont="1" applyBorder="1" applyAlignment="1">
      <alignment vertical="center"/>
    </xf>
    <xf numFmtId="165" fontId="15" fillId="0" borderId="9" xfId="1" applyNumberFormat="1" applyFont="1" applyBorder="1" applyAlignment="1">
      <alignment vertical="center"/>
    </xf>
    <xf numFmtId="0" fontId="15" fillId="0" borderId="10" xfId="0" applyFont="1" applyBorder="1"/>
    <xf numFmtId="0" fontId="15" fillId="0" borderId="11" xfId="0" applyFont="1" applyBorder="1" applyAlignment="1">
      <alignment vertical="center"/>
    </xf>
    <xf numFmtId="0" fontId="15" fillId="0" borderId="12" xfId="0" applyFont="1" applyBorder="1" applyAlignment="1">
      <alignment vertical="center"/>
    </xf>
    <xf numFmtId="164" fontId="15" fillId="0" borderId="12" xfId="1" applyFont="1" applyBorder="1" applyAlignment="1">
      <alignment horizontal="center" vertical="center"/>
    </xf>
    <xf numFmtId="164" fontId="15" fillId="0" borderId="0" xfId="1" applyFont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14" fontId="15" fillId="0" borderId="1" xfId="1" applyNumberFormat="1" applyFont="1" applyBorder="1" applyAlignment="1">
      <alignment horizontal="center" vertical="center"/>
    </xf>
    <xf numFmtId="14" fontId="15" fillId="0" borderId="1" xfId="0" applyNumberFormat="1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164" fontId="15" fillId="0" borderId="0" xfId="0" applyNumberFormat="1" applyFont="1"/>
    <xf numFmtId="14" fontId="6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4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14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165" fontId="15" fillId="0" borderId="45" xfId="1" applyNumberFormat="1" applyFont="1" applyBorder="1" applyAlignment="1">
      <alignment horizontal="center" vertical="center"/>
    </xf>
    <xf numFmtId="165" fontId="15" fillId="0" borderId="46" xfId="1" applyNumberFormat="1" applyFont="1" applyBorder="1" applyAlignment="1">
      <alignment horizontal="center" vertical="center"/>
    </xf>
    <xf numFmtId="0" fontId="14" fillId="0" borderId="65" xfId="0" applyFont="1" applyBorder="1" applyAlignment="1">
      <alignment horizontal="center" vertical="center" wrapText="1"/>
    </xf>
    <xf numFmtId="0" fontId="14" fillId="0" borderId="66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/>
    </xf>
    <xf numFmtId="0" fontId="12" fillId="0" borderId="49" xfId="0" applyFont="1" applyBorder="1" applyAlignment="1">
      <alignment horizontal="center"/>
    </xf>
    <xf numFmtId="0" fontId="12" fillId="0" borderId="14" xfId="0" applyFont="1" applyBorder="1" applyAlignment="1">
      <alignment horizontal="center"/>
    </xf>
    <xf numFmtId="164" fontId="12" fillId="0" borderId="16" xfId="1" applyFont="1" applyBorder="1" applyAlignment="1">
      <alignment horizontal="center"/>
    </xf>
    <xf numFmtId="164" fontId="12" fillId="0" borderId="49" xfId="1" applyFont="1" applyBorder="1" applyAlignment="1">
      <alignment horizontal="center"/>
    </xf>
    <xf numFmtId="164" fontId="12" fillId="0" borderId="14" xfId="1" applyFont="1" applyBorder="1" applyAlignment="1">
      <alignment horizontal="center"/>
    </xf>
    <xf numFmtId="164" fontId="12" fillId="9" borderId="51" xfId="1" applyFont="1" applyFill="1" applyBorder="1" applyAlignment="1">
      <alignment horizontal="center" vertical="center"/>
    </xf>
    <xf numFmtId="164" fontId="12" fillId="9" borderId="57" xfId="1" applyFont="1" applyFill="1" applyBorder="1" applyAlignment="1">
      <alignment horizontal="center" vertical="center"/>
    </xf>
    <xf numFmtId="164" fontId="12" fillId="0" borderId="50" xfId="1" applyFont="1" applyBorder="1" applyAlignment="1">
      <alignment horizontal="center" vertical="center"/>
    </xf>
    <xf numFmtId="164" fontId="12" fillId="0" borderId="48" xfId="1" applyFont="1" applyBorder="1" applyAlignment="1">
      <alignment horizontal="center" vertical="center"/>
    </xf>
    <xf numFmtId="164" fontId="12" fillId="9" borderId="52" xfId="1" applyFont="1" applyFill="1" applyBorder="1" applyAlignment="1">
      <alignment horizontal="center"/>
    </xf>
    <xf numFmtId="164" fontId="12" fillId="9" borderId="53" xfId="1" applyFont="1" applyFill="1" applyBorder="1" applyAlignment="1">
      <alignment horizontal="center"/>
    </xf>
    <xf numFmtId="164" fontId="12" fillId="9" borderId="54" xfId="1" applyFont="1" applyFill="1" applyBorder="1" applyAlignment="1">
      <alignment horizontal="center"/>
    </xf>
    <xf numFmtId="164" fontId="12" fillId="9" borderId="55" xfId="1" applyFont="1" applyFill="1" applyBorder="1" applyAlignment="1">
      <alignment horizontal="center"/>
    </xf>
    <xf numFmtId="164" fontId="12" fillId="9" borderId="56" xfId="1" applyFont="1" applyFill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theme/theme1.xml><?xml version="1.0" encoding="utf-8"?>
<a:theme xmlns:a="http://schemas.openxmlformats.org/drawingml/2006/main" name="Office Theme">
  <a:themeElements>
    <a:clrScheme name="Marquee">
      <a:dk1>
        <a:srgbClr val="000000"/>
      </a:dk1>
      <a:lt1>
        <a:sysClr val="window" lastClr="FFFFFF"/>
      </a:lt1>
      <a:dk2>
        <a:srgbClr val="5E5E5E"/>
      </a:dk2>
      <a:lt2>
        <a:srgbClr val="DDDDDD"/>
      </a:lt2>
      <a:accent1>
        <a:srgbClr val="418AB3"/>
      </a:accent1>
      <a:accent2>
        <a:srgbClr val="A6B727"/>
      </a:accent2>
      <a:accent3>
        <a:srgbClr val="F69200"/>
      </a:accent3>
      <a:accent4>
        <a:srgbClr val="838383"/>
      </a:accent4>
      <a:accent5>
        <a:srgbClr val="FEC306"/>
      </a:accent5>
      <a:accent6>
        <a:srgbClr val="DF5327"/>
      </a:accent6>
      <a:hlink>
        <a:srgbClr val="F59E00"/>
      </a:hlink>
      <a:folHlink>
        <a:srgbClr val="B2B2B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B2:F27"/>
  <sheetViews>
    <sheetView rightToLeft="1" workbookViewId="0">
      <selection activeCell="C30" sqref="C30"/>
    </sheetView>
  </sheetViews>
  <sheetFormatPr defaultRowHeight="15" x14ac:dyDescent="0.25"/>
  <cols>
    <col min="2" max="2" width="12.42578125" bestFit="1" customWidth="1"/>
    <col min="3" max="3" width="17.5703125" bestFit="1" customWidth="1"/>
    <col min="4" max="4" width="18.42578125" bestFit="1" customWidth="1"/>
    <col min="5" max="5" width="16.7109375" bestFit="1" customWidth="1"/>
    <col min="6" max="6" width="16.85546875" bestFit="1" customWidth="1"/>
  </cols>
  <sheetData>
    <row r="2" spans="2:6" s="61" customFormat="1" ht="23.25" customHeight="1" x14ac:dyDescent="0.25">
      <c r="B2" s="60" t="s">
        <v>4</v>
      </c>
      <c r="C2" s="60" t="s">
        <v>106</v>
      </c>
      <c r="D2" s="60" t="s">
        <v>108</v>
      </c>
      <c r="E2" s="60" t="s">
        <v>107</v>
      </c>
      <c r="F2" s="60" t="s">
        <v>109</v>
      </c>
    </row>
    <row r="3" spans="2:6" hidden="1" x14ac:dyDescent="0.25">
      <c r="B3" s="58">
        <v>45078</v>
      </c>
      <c r="C3" s="16">
        <v>200</v>
      </c>
      <c r="D3" s="16"/>
      <c r="E3" s="16" t="s">
        <v>110</v>
      </c>
      <c r="F3" s="16"/>
    </row>
    <row r="4" spans="2:6" hidden="1" x14ac:dyDescent="0.25">
      <c r="B4" s="58">
        <v>45079</v>
      </c>
      <c r="C4" s="16">
        <v>100</v>
      </c>
      <c r="D4" s="16"/>
      <c r="E4" s="16" t="s">
        <v>110</v>
      </c>
      <c r="F4" s="16"/>
    </row>
    <row r="5" spans="2:6" hidden="1" x14ac:dyDescent="0.25">
      <c r="B5" s="58">
        <v>45049</v>
      </c>
      <c r="C5" s="16">
        <v>120</v>
      </c>
      <c r="D5" s="16"/>
      <c r="E5" s="16" t="s">
        <v>110</v>
      </c>
      <c r="F5" s="16"/>
    </row>
    <row r="6" spans="2:6" hidden="1" x14ac:dyDescent="0.25">
      <c r="B6" s="58">
        <v>45050</v>
      </c>
      <c r="C6" s="16">
        <v>100</v>
      </c>
      <c r="D6" s="16"/>
      <c r="E6" s="16" t="s">
        <v>110</v>
      </c>
      <c r="F6" s="16"/>
    </row>
    <row r="7" spans="2:6" hidden="1" x14ac:dyDescent="0.25">
      <c r="B7" s="58">
        <v>45051</v>
      </c>
      <c r="C7" s="16">
        <v>100</v>
      </c>
      <c r="D7" s="16"/>
      <c r="E7" s="16" t="s">
        <v>110</v>
      </c>
      <c r="F7" s="16"/>
    </row>
    <row r="8" spans="2:6" hidden="1" x14ac:dyDescent="0.25">
      <c r="B8" s="58">
        <v>45084</v>
      </c>
      <c r="C8" s="16">
        <v>100</v>
      </c>
      <c r="D8" s="16"/>
      <c r="E8" s="16" t="s">
        <v>110</v>
      </c>
      <c r="F8" s="16"/>
    </row>
    <row r="9" spans="2:6" hidden="1" x14ac:dyDescent="0.25">
      <c r="B9" s="58">
        <v>45085</v>
      </c>
      <c r="C9" s="16">
        <v>100</v>
      </c>
      <c r="D9" s="16"/>
      <c r="E9" s="16" t="s">
        <v>110</v>
      </c>
      <c r="F9" s="16"/>
    </row>
    <row r="10" spans="2:6" hidden="1" x14ac:dyDescent="0.25">
      <c r="B10" s="58">
        <v>45086</v>
      </c>
      <c r="C10" s="16">
        <v>100</v>
      </c>
      <c r="D10" s="16"/>
      <c r="E10" s="16" t="s">
        <v>110</v>
      </c>
      <c r="F10" s="16"/>
    </row>
    <row r="11" spans="2:6" hidden="1" x14ac:dyDescent="0.25">
      <c r="B11" s="58">
        <v>45087</v>
      </c>
      <c r="C11" s="16">
        <v>100</v>
      </c>
      <c r="D11" s="16"/>
      <c r="E11" s="16" t="s">
        <v>110</v>
      </c>
      <c r="F11" s="16"/>
    </row>
    <row r="12" spans="2:6" x14ac:dyDescent="0.25">
      <c r="B12" s="58">
        <v>45087</v>
      </c>
      <c r="C12" s="16">
        <v>150</v>
      </c>
      <c r="D12" s="16"/>
      <c r="E12" s="16" t="s">
        <v>243</v>
      </c>
      <c r="F12" s="16"/>
    </row>
    <row r="13" spans="2:6" hidden="1" x14ac:dyDescent="0.25">
      <c r="B13" s="58">
        <v>45089</v>
      </c>
      <c r="C13" s="16">
        <v>100</v>
      </c>
      <c r="D13" s="16"/>
      <c r="E13" s="16" t="s">
        <v>110</v>
      </c>
      <c r="F13" s="16"/>
    </row>
    <row r="14" spans="2:6" hidden="1" x14ac:dyDescent="0.25">
      <c r="B14" s="58">
        <v>45090</v>
      </c>
      <c r="C14" s="16">
        <v>100</v>
      </c>
      <c r="D14" s="16"/>
      <c r="E14" s="16" t="s">
        <v>110</v>
      </c>
      <c r="F14" s="16"/>
    </row>
    <row r="15" spans="2:6" x14ac:dyDescent="0.25">
      <c r="B15" s="58">
        <v>45101</v>
      </c>
      <c r="C15" s="16">
        <v>200</v>
      </c>
      <c r="D15" s="16"/>
      <c r="E15" s="16" t="s">
        <v>243</v>
      </c>
      <c r="F15" s="16"/>
    </row>
    <row r="16" spans="2:6" x14ac:dyDescent="0.25">
      <c r="B16" s="16"/>
      <c r="C16" s="16"/>
      <c r="D16" s="16"/>
      <c r="E16" s="16"/>
      <c r="F16" s="16"/>
    </row>
    <row r="17" spans="2:6" x14ac:dyDescent="0.25">
      <c r="B17" s="16"/>
      <c r="C17" s="16"/>
      <c r="D17" s="16"/>
      <c r="E17" s="16"/>
      <c r="F17" s="16"/>
    </row>
    <row r="18" spans="2:6" x14ac:dyDescent="0.25">
      <c r="B18" s="16"/>
      <c r="C18" s="16"/>
      <c r="D18" s="16"/>
      <c r="E18" s="16"/>
      <c r="F18" s="16"/>
    </row>
    <row r="19" spans="2:6" x14ac:dyDescent="0.25">
      <c r="B19" s="16"/>
      <c r="C19" s="16"/>
      <c r="D19" s="16"/>
      <c r="E19" s="16"/>
      <c r="F19" s="16"/>
    </row>
    <row r="20" spans="2:6" x14ac:dyDescent="0.25">
      <c r="B20" s="16"/>
      <c r="C20" s="16"/>
      <c r="D20" s="16"/>
      <c r="E20" s="16"/>
      <c r="F20" s="16"/>
    </row>
    <row r="21" spans="2:6" x14ac:dyDescent="0.25">
      <c r="B21" s="16"/>
      <c r="C21" s="16"/>
      <c r="D21" s="16"/>
      <c r="E21" s="16"/>
      <c r="F21" s="16"/>
    </row>
    <row r="22" spans="2:6" x14ac:dyDescent="0.25">
      <c r="B22" s="16"/>
      <c r="C22" s="16"/>
      <c r="D22" s="16"/>
      <c r="E22" s="16"/>
      <c r="F22" s="16"/>
    </row>
    <row r="23" spans="2:6" x14ac:dyDescent="0.25">
      <c r="B23" s="16"/>
      <c r="C23" s="16"/>
      <c r="D23" s="16"/>
      <c r="E23" s="16"/>
      <c r="F23" s="16"/>
    </row>
    <row r="24" spans="2:6" x14ac:dyDescent="0.25">
      <c r="B24" s="16"/>
      <c r="C24" s="16"/>
      <c r="D24" s="16"/>
      <c r="E24" s="16"/>
      <c r="F24" s="16"/>
    </row>
    <row r="25" spans="2:6" x14ac:dyDescent="0.25">
      <c r="B25" s="16"/>
      <c r="C25" s="16"/>
      <c r="D25" s="16"/>
      <c r="E25" s="16"/>
      <c r="F25" s="16"/>
    </row>
    <row r="26" spans="2:6" x14ac:dyDescent="0.25">
      <c r="B26" s="16"/>
      <c r="C26" s="16"/>
      <c r="D26" s="16"/>
      <c r="E26" s="16"/>
      <c r="F26" s="16"/>
    </row>
    <row r="27" spans="2:6" x14ac:dyDescent="0.25">
      <c r="B27" s="16"/>
      <c r="C27" s="16"/>
      <c r="D27" s="16"/>
      <c r="E27" s="16"/>
      <c r="F27" s="16"/>
    </row>
  </sheetData>
  <autoFilter ref="B2:F15">
    <filterColumn colId="3">
      <filters>
        <filter val="احمد عيد كاشير"/>
      </filters>
    </filterColumn>
  </autoFilter>
  <pageMargins left="0.7" right="0.7" top="0.75" bottom="0.75" header="0.3" footer="0.3"/>
  <pageSetup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0"/>
  <sheetViews>
    <sheetView rightToLeft="1" topLeftCell="A35" zoomScale="60" zoomScaleNormal="60" workbookViewId="0">
      <selection activeCell="L46" sqref="L46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4.14062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3" width="13.5703125" customWidth="1"/>
    <col min="14" max="14" width="15" bestFit="1" customWidth="1"/>
    <col min="15" max="15" width="18.85546875" bestFit="1" customWidth="1"/>
    <col min="16" max="16" width="18.7109375" bestFit="1" customWidth="1"/>
    <col min="17" max="17" width="13" bestFit="1" customWidth="1"/>
    <col min="18" max="18" width="18.7109375" bestFit="1" customWidth="1"/>
    <col min="19" max="19" width="14" customWidth="1"/>
    <col min="20" max="20" width="12" bestFit="1" customWidth="1"/>
  </cols>
  <sheetData>
    <row r="1" spans="1:20" ht="15.75" hidden="1" thickBot="1" x14ac:dyDescent="0.3"/>
    <row r="2" spans="1:20" ht="25.5" customHeight="1" thickBot="1" x14ac:dyDescent="0.35">
      <c r="A2" s="92" t="s">
        <v>0</v>
      </c>
      <c r="B2" s="93"/>
      <c r="C2" s="93"/>
      <c r="D2" s="94"/>
      <c r="E2" s="168">
        <f ca="1">TODAY()</f>
        <v>45118</v>
      </c>
      <c r="F2" s="169"/>
      <c r="G2" s="169"/>
      <c r="H2" s="169"/>
      <c r="I2" s="169"/>
      <c r="J2" s="169"/>
      <c r="K2" s="169"/>
      <c r="L2" s="169"/>
      <c r="M2" s="63"/>
      <c r="N2" s="63"/>
      <c r="O2" s="63"/>
      <c r="P2" s="63"/>
      <c r="Q2" s="63"/>
      <c r="R2" s="63"/>
      <c r="S2" s="63"/>
      <c r="T2" s="63"/>
    </row>
    <row r="3" spans="1:20" ht="36.75" customHeight="1" x14ac:dyDescent="0.25">
      <c r="A3" s="62" t="s">
        <v>4</v>
      </c>
      <c r="B3" s="62" t="s">
        <v>3</v>
      </c>
      <c r="C3" s="62" t="s">
        <v>1</v>
      </c>
      <c r="D3" s="62" t="s">
        <v>2</v>
      </c>
      <c r="E3" s="62" t="s">
        <v>1</v>
      </c>
      <c r="F3" s="62" t="s">
        <v>13</v>
      </c>
      <c r="G3" s="62" t="s">
        <v>5</v>
      </c>
      <c r="H3" s="95" t="s">
        <v>8</v>
      </c>
      <c r="I3" s="96" t="s">
        <v>9</v>
      </c>
      <c r="J3" s="96" t="s">
        <v>10</v>
      </c>
      <c r="K3" s="96" t="s">
        <v>11</v>
      </c>
      <c r="L3" s="96" t="s">
        <v>12</v>
      </c>
      <c r="M3" s="96" t="s">
        <v>31</v>
      </c>
      <c r="N3" s="96" t="s">
        <v>45</v>
      </c>
      <c r="O3" s="96" t="s">
        <v>32</v>
      </c>
      <c r="P3" s="96" t="s">
        <v>34</v>
      </c>
      <c r="Q3" s="96" t="s">
        <v>35</v>
      </c>
      <c r="R3" s="96" t="s">
        <v>39</v>
      </c>
      <c r="S3" s="96" t="s">
        <v>38</v>
      </c>
      <c r="T3" s="97" t="s">
        <v>40</v>
      </c>
    </row>
    <row r="4" spans="1:20" ht="25.5" customHeight="1" x14ac:dyDescent="0.25">
      <c r="A4" s="74">
        <v>45055</v>
      </c>
      <c r="B4" s="6"/>
      <c r="C4" s="6" t="s">
        <v>14</v>
      </c>
      <c r="D4" s="6">
        <f>577+20</f>
        <v>597</v>
      </c>
      <c r="E4" s="6" t="s">
        <v>195</v>
      </c>
      <c r="F4" s="6">
        <f>SUM(G4:T4)</f>
        <v>100</v>
      </c>
      <c r="G4" s="6"/>
      <c r="H4" s="98"/>
      <c r="I4" s="6"/>
      <c r="J4" s="6"/>
      <c r="K4" s="6"/>
      <c r="L4" s="6"/>
      <c r="M4" s="6"/>
      <c r="N4" s="6">
        <v>100</v>
      </c>
      <c r="O4" s="6"/>
      <c r="P4" s="6"/>
      <c r="Q4" s="6"/>
      <c r="R4" s="6"/>
      <c r="S4" s="6"/>
      <c r="T4" s="6"/>
    </row>
    <row r="5" spans="1:20" ht="25.5" customHeight="1" x14ac:dyDescent="0.25">
      <c r="A5" s="74">
        <v>45055</v>
      </c>
      <c r="B5" s="6"/>
      <c r="C5" s="6" t="s">
        <v>15</v>
      </c>
      <c r="D5" s="6">
        <f>1073+682</f>
        <v>1755</v>
      </c>
      <c r="E5" s="6" t="s">
        <v>68</v>
      </c>
      <c r="F5" s="6">
        <f t="shared" ref="F5:F38" si="0">SUM(G5:T5)</f>
        <v>135</v>
      </c>
      <c r="G5" s="6"/>
      <c r="H5" s="98"/>
      <c r="I5" s="6"/>
      <c r="J5" s="6"/>
      <c r="K5" s="6"/>
      <c r="L5" s="6">
        <f>90+45</f>
        <v>135</v>
      </c>
      <c r="M5" s="6"/>
      <c r="N5" s="6"/>
      <c r="O5" s="6"/>
      <c r="P5" s="6"/>
      <c r="Q5" s="6"/>
      <c r="R5" s="6"/>
      <c r="S5" s="6"/>
      <c r="T5" s="6"/>
    </row>
    <row r="6" spans="1:20" ht="25.5" customHeight="1" x14ac:dyDescent="0.25">
      <c r="A6" s="74">
        <v>45055</v>
      </c>
      <c r="B6" s="6"/>
      <c r="C6" s="6" t="s">
        <v>16</v>
      </c>
      <c r="D6" s="6">
        <v>0</v>
      </c>
      <c r="E6" s="6" t="s">
        <v>196</v>
      </c>
      <c r="F6" s="6">
        <f t="shared" si="0"/>
        <v>40</v>
      </c>
      <c r="G6" s="6"/>
      <c r="H6" s="98"/>
      <c r="I6" s="6"/>
      <c r="J6" s="6"/>
      <c r="K6" s="6"/>
      <c r="L6" s="6"/>
      <c r="M6" s="6"/>
      <c r="N6" s="6">
        <v>40</v>
      </c>
      <c r="O6" s="6"/>
      <c r="P6" s="6"/>
      <c r="Q6" s="6"/>
      <c r="R6" s="6"/>
      <c r="S6" s="6"/>
      <c r="T6" s="6"/>
    </row>
    <row r="7" spans="1:20" ht="25.5" customHeight="1" x14ac:dyDescent="0.25">
      <c r="A7" s="74">
        <v>45055</v>
      </c>
      <c r="B7" s="6"/>
      <c r="C7" s="6" t="s">
        <v>17</v>
      </c>
      <c r="D7" s="6">
        <f>198+115</f>
        <v>313</v>
      </c>
      <c r="E7" s="6" t="s">
        <v>132</v>
      </c>
      <c r="F7" s="6">
        <f t="shared" si="0"/>
        <v>5</v>
      </c>
      <c r="G7" s="6"/>
      <c r="H7" s="98"/>
      <c r="I7" s="6"/>
      <c r="J7" s="6"/>
      <c r="K7" s="6"/>
      <c r="L7" s="6"/>
      <c r="M7" s="6"/>
      <c r="N7" s="6">
        <v>5</v>
      </c>
      <c r="O7" s="6"/>
      <c r="P7" s="6"/>
      <c r="Q7" s="6"/>
      <c r="R7" s="6"/>
      <c r="S7" s="6"/>
      <c r="T7" s="6"/>
    </row>
    <row r="8" spans="1:20" ht="25.5" customHeight="1" x14ac:dyDescent="0.25">
      <c r="A8" s="74">
        <v>45055</v>
      </c>
      <c r="B8" s="6"/>
      <c r="C8" s="6" t="s">
        <v>18</v>
      </c>
      <c r="D8" s="6">
        <f>20+2000+50+33+60+25+64+16+8+30+25+50</f>
        <v>2381</v>
      </c>
      <c r="E8" s="6" t="s">
        <v>197</v>
      </c>
      <c r="F8" s="6">
        <f t="shared" si="0"/>
        <v>60</v>
      </c>
      <c r="G8" s="6"/>
      <c r="H8" s="98"/>
      <c r="I8" s="6"/>
      <c r="J8" s="6"/>
      <c r="K8" s="6"/>
      <c r="L8" s="6"/>
      <c r="M8" s="6"/>
      <c r="N8" s="6">
        <v>60</v>
      </c>
      <c r="O8" s="6"/>
      <c r="P8" s="6"/>
      <c r="Q8" s="6"/>
      <c r="R8" s="6"/>
      <c r="S8" s="6"/>
      <c r="T8" s="6"/>
    </row>
    <row r="9" spans="1:20" ht="25.5" customHeight="1" x14ac:dyDescent="0.25">
      <c r="A9" s="74">
        <v>45055</v>
      </c>
      <c r="B9" s="6"/>
      <c r="C9" s="6" t="s">
        <v>30</v>
      </c>
      <c r="D9" s="6">
        <v>0</v>
      </c>
      <c r="E9" s="6" t="s">
        <v>134</v>
      </c>
      <c r="F9" s="6">
        <f t="shared" si="0"/>
        <v>25</v>
      </c>
      <c r="G9" s="6"/>
      <c r="H9" s="98"/>
      <c r="I9" s="6"/>
      <c r="J9" s="6"/>
      <c r="K9" s="6"/>
      <c r="L9" s="6"/>
      <c r="M9" s="6"/>
      <c r="N9" s="6">
        <v>25</v>
      </c>
      <c r="O9" s="6"/>
      <c r="P9" s="6"/>
      <c r="Q9" s="6"/>
      <c r="R9" s="6"/>
      <c r="S9" s="6"/>
      <c r="T9" s="6"/>
    </row>
    <row r="10" spans="1:20" ht="25.5" customHeight="1" x14ac:dyDescent="0.25">
      <c r="A10" s="74">
        <v>45055</v>
      </c>
      <c r="B10" s="6"/>
      <c r="C10" s="6" t="s">
        <v>46</v>
      </c>
      <c r="D10" s="6"/>
      <c r="E10" s="6" t="s">
        <v>73</v>
      </c>
      <c r="F10" s="6">
        <f t="shared" si="0"/>
        <v>170</v>
      </c>
      <c r="G10" s="6">
        <v>170</v>
      </c>
      <c r="H10" s="98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</row>
    <row r="11" spans="1:20" ht="25.5" customHeight="1" x14ac:dyDescent="0.25">
      <c r="A11" s="74">
        <v>45055</v>
      </c>
      <c r="B11" s="6"/>
      <c r="C11" s="6"/>
      <c r="D11" s="6"/>
      <c r="E11" s="6" t="s">
        <v>117</v>
      </c>
      <c r="F11" s="6">
        <f t="shared" si="0"/>
        <v>150</v>
      </c>
      <c r="G11" s="6">
        <v>150</v>
      </c>
      <c r="H11" s="98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</row>
    <row r="12" spans="1:20" ht="25.5" customHeight="1" x14ac:dyDescent="0.25">
      <c r="A12" s="74">
        <v>45055</v>
      </c>
      <c r="B12" s="6"/>
      <c r="C12" s="6"/>
      <c r="D12" s="6"/>
      <c r="E12" s="6" t="s">
        <v>74</v>
      </c>
      <c r="F12" s="6">
        <f t="shared" si="0"/>
        <v>150</v>
      </c>
      <c r="G12" s="6">
        <v>150</v>
      </c>
      <c r="H12" s="98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</row>
    <row r="13" spans="1:20" ht="25.5" customHeight="1" x14ac:dyDescent="0.25">
      <c r="A13" s="74">
        <v>45055</v>
      </c>
      <c r="B13" s="6"/>
      <c r="C13" s="6"/>
      <c r="D13" s="6"/>
      <c r="E13" s="6" t="s">
        <v>146</v>
      </c>
      <c r="F13" s="6">
        <f t="shared" si="0"/>
        <v>150</v>
      </c>
      <c r="G13" s="6">
        <v>150</v>
      </c>
      <c r="H13" s="98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</row>
    <row r="14" spans="1:20" ht="25.5" customHeight="1" x14ac:dyDescent="0.25">
      <c r="A14" s="74">
        <v>45055</v>
      </c>
      <c r="B14" s="6"/>
      <c r="C14" s="6"/>
      <c r="D14" s="6"/>
      <c r="E14" s="6" t="s">
        <v>121</v>
      </c>
      <c r="F14" s="6">
        <f t="shared" si="0"/>
        <v>160</v>
      </c>
      <c r="G14" s="6">
        <v>160</v>
      </c>
      <c r="H14" s="98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</row>
    <row r="15" spans="1:20" ht="25.5" customHeight="1" x14ac:dyDescent="0.25">
      <c r="A15" s="74">
        <v>45055</v>
      </c>
      <c r="B15" s="6"/>
      <c r="C15" s="6"/>
      <c r="D15" s="6"/>
      <c r="E15" s="6" t="s">
        <v>79</v>
      </c>
      <c r="F15" s="6">
        <f t="shared" si="0"/>
        <v>40</v>
      </c>
      <c r="G15" s="6">
        <v>40</v>
      </c>
      <c r="H15" s="98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</row>
    <row r="16" spans="1:20" ht="25.5" customHeight="1" x14ac:dyDescent="0.25">
      <c r="A16" s="74">
        <v>45055</v>
      </c>
      <c r="B16" s="6"/>
      <c r="C16" s="6"/>
      <c r="D16" s="6"/>
      <c r="E16" s="6" t="s">
        <v>77</v>
      </c>
      <c r="F16" s="6">
        <f t="shared" si="0"/>
        <v>100</v>
      </c>
      <c r="G16" s="6">
        <v>100</v>
      </c>
      <c r="H16" s="98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</row>
    <row r="17" spans="1:20" ht="25.5" customHeight="1" x14ac:dyDescent="0.25">
      <c r="A17" s="74">
        <v>45055</v>
      </c>
      <c r="B17" s="6"/>
      <c r="C17" s="6"/>
      <c r="D17" s="6"/>
      <c r="E17" s="6" t="s">
        <v>127</v>
      </c>
      <c r="F17" s="6">
        <f t="shared" si="0"/>
        <v>200</v>
      </c>
      <c r="G17" s="6">
        <v>200</v>
      </c>
      <c r="H17" s="98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</row>
    <row r="18" spans="1:20" ht="25.5" customHeight="1" x14ac:dyDescent="0.25">
      <c r="A18" s="74">
        <v>45055</v>
      </c>
      <c r="B18" s="6"/>
      <c r="C18" s="6"/>
      <c r="D18" s="6"/>
      <c r="E18" s="6" t="s">
        <v>126</v>
      </c>
      <c r="F18" s="6">
        <f t="shared" si="0"/>
        <v>170</v>
      </c>
      <c r="G18" s="6">
        <v>170</v>
      </c>
      <c r="H18" s="98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</row>
    <row r="19" spans="1:20" ht="25.5" customHeight="1" x14ac:dyDescent="0.25">
      <c r="A19" s="74">
        <v>45055</v>
      </c>
      <c r="B19" s="6"/>
      <c r="C19" s="6"/>
      <c r="D19" s="6"/>
      <c r="E19" s="6" t="s">
        <v>84</v>
      </c>
      <c r="F19" s="6">
        <f t="shared" si="0"/>
        <v>170</v>
      </c>
      <c r="G19" s="6">
        <v>170</v>
      </c>
      <c r="H19" s="98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</row>
    <row r="20" spans="1:20" ht="25.5" customHeight="1" x14ac:dyDescent="0.25">
      <c r="A20" s="74">
        <v>45055</v>
      </c>
      <c r="B20" s="6"/>
      <c r="C20" s="6"/>
      <c r="D20" s="6"/>
      <c r="E20" s="6" t="s">
        <v>88</v>
      </c>
      <c r="F20" s="6">
        <f t="shared" si="0"/>
        <v>150</v>
      </c>
      <c r="G20" s="6">
        <v>150</v>
      </c>
      <c r="H20" s="98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</row>
    <row r="21" spans="1:20" ht="25.5" customHeight="1" x14ac:dyDescent="0.25">
      <c r="A21" s="74">
        <v>45055</v>
      </c>
      <c r="B21" s="6"/>
      <c r="C21" s="6"/>
      <c r="D21" s="6"/>
      <c r="E21" s="6" t="s">
        <v>80</v>
      </c>
      <c r="F21" s="6">
        <f t="shared" si="0"/>
        <v>50</v>
      </c>
      <c r="G21" s="6">
        <v>50</v>
      </c>
      <c r="H21" s="98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</row>
    <row r="22" spans="1:20" ht="25.5" customHeight="1" x14ac:dyDescent="0.25">
      <c r="A22" s="74">
        <v>45055</v>
      </c>
      <c r="B22" s="6"/>
      <c r="C22" s="6"/>
      <c r="D22" s="6"/>
      <c r="E22" s="6" t="s">
        <v>83</v>
      </c>
      <c r="F22" s="6">
        <f t="shared" si="0"/>
        <v>30</v>
      </c>
      <c r="G22" s="6">
        <v>30</v>
      </c>
      <c r="H22" s="98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</row>
    <row r="23" spans="1:20" ht="25.5" customHeight="1" x14ac:dyDescent="0.25">
      <c r="A23" s="74">
        <v>45055</v>
      </c>
      <c r="B23" s="6"/>
      <c r="C23" s="6"/>
      <c r="D23" s="6"/>
      <c r="E23" s="6" t="s">
        <v>85</v>
      </c>
      <c r="F23" s="6">
        <f t="shared" si="0"/>
        <v>100</v>
      </c>
      <c r="G23" s="6">
        <v>100</v>
      </c>
      <c r="H23" s="98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</row>
    <row r="24" spans="1:20" ht="25.5" customHeight="1" x14ac:dyDescent="0.25">
      <c r="A24" s="74">
        <v>45055</v>
      </c>
      <c r="B24" s="6"/>
      <c r="C24" s="6"/>
      <c r="D24" s="6"/>
      <c r="E24" s="6"/>
      <c r="F24" s="6">
        <f t="shared" si="0"/>
        <v>0</v>
      </c>
      <c r="G24" s="6"/>
      <c r="H24" s="98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</row>
    <row r="25" spans="1:20" ht="25.5" customHeight="1" x14ac:dyDescent="0.25">
      <c r="A25" s="74">
        <v>45055</v>
      </c>
      <c r="B25" s="6"/>
      <c r="C25" s="6"/>
      <c r="D25" s="6"/>
      <c r="E25" s="6"/>
      <c r="F25" s="6">
        <f t="shared" si="0"/>
        <v>0</v>
      </c>
      <c r="G25" s="6"/>
      <c r="H25" s="98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</row>
    <row r="26" spans="1:20" ht="25.5" customHeight="1" x14ac:dyDescent="0.25">
      <c r="A26" s="74">
        <v>45055</v>
      </c>
      <c r="B26" s="6"/>
      <c r="C26" s="6"/>
      <c r="D26" s="6"/>
      <c r="E26" s="6"/>
      <c r="F26" s="6">
        <f t="shared" si="0"/>
        <v>0</v>
      </c>
      <c r="G26" s="6"/>
      <c r="H26" s="98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</row>
    <row r="27" spans="1:20" ht="25.5" customHeight="1" x14ac:dyDescent="0.25">
      <c r="A27" s="74">
        <v>45055</v>
      </c>
      <c r="B27" s="6"/>
      <c r="C27" s="6"/>
      <c r="D27" s="6"/>
      <c r="E27" s="6"/>
      <c r="F27" s="6">
        <f t="shared" si="0"/>
        <v>0</v>
      </c>
      <c r="G27" s="6"/>
      <c r="H27" s="98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</row>
    <row r="28" spans="1:20" ht="25.5" customHeight="1" x14ac:dyDescent="0.25">
      <c r="A28" s="74">
        <v>45055</v>
      </c>
      <c r="B28" s="6"/>
      <c r="C28" s="6"/>
      <c r="D28" s="6"/>
      <c r="E28" s="6"/>
      <c r="F28" s="6">
        <f t="shared" si="0"/>
        <v>0</v>
      </c>
      <c r="G28" s="6"/>
      <c r="H28" s="98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</row>
    <row r="29" spans="1:20" ht="25.5" customHeight="1" x14ac:dyDescent="0.25">
      <c r="A29" s="74">
        <v>45055</v>
      </c>
      <c r="B29" s="6"/>
      <c r="C29" s="6"/>
      <c r="D29" s="6"/>
      <c r="E29" s="6"/>
      <c r="F29" s="6">
        <f t="shared" si="0"/>
        <v>0</v>
      </c>
      <c r="G29" s="6"/>
      <c r="H29" s="98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</row>
    <row r="30" spans="1:20" ht="25.5" customHeight="1" x14ac:dyDescent="0.25">
      <c r="A30" s="74">
        <v>45055</v>
      </c>
      <c r="B30" s="6"/>
      <c r="C30" s="6"/>
      <c r="D30" s="6"/>
      <c r="E30" s="6"/>
      <c r="F30" s="6">
        <f t="shared" si="0"/>
        <v>0</v>
      </c>
      <c r="G30" s="6"/>
      <c r="H30" s="98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</row>
    <row r="31" spans="1:20" ht="25.5" customHeight="1" x14ac:dyDescent="0.25">
      <c r="A31" s="74">
        <v>45055</v>
      </c>
      <c r="B31" s="6"/>
      <c r="C31" s="6"/>
      <c r="D31" s="6"/>
      <c r="E31" s="6"/>
      <c r="F31" s="6">
        <f t="shared" si="0"/>
        <v>0</v>
      </c>
      <c r="G31" s="6"/>
      <c r="H31" s="98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</row>
    <row r="32" spans="1:20" ht="25.5" customHeight="1" x14ac:dyDescent="0.25">
      <c r="A32" s="74">
        <v>45055</v>
      </c>
      <c r="B32" s="6"/>
      <c r="C32" s="6"/>
      <c r="D32" s="6"/>
      <c r="E32" s="6"/>
      <c r="F32" s="6">
        <f t="shared" si="0"/>
        <v>0</v>
      </c>
      <c r="G32" s="6"/>
      <c r="H32" s="98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</row>
    <row r="33" spans="1:20" ht="25.5" customHeight="1" x14ac:dyDescent="0.25">
      <c r="A33" s="74">
        <v>45055</v>
      </c>
      <c r="B33" s="6"/>
      <c r="C33" s="6"/>
      <c r="D33" s="6"/>
      <c r="E33" s="6"/>
      <c r="F33" s="6">
        <f t="shared" si="0"/>
        <v>0</v>
      </c>
      <c r="G33" s="6"/>
      <c r="H33" s="98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</row>
    <row r="34" spans="1:20" ht="25.5" customHeight="1" x14ac:dyDescent="0.25">
      <c r="A34" s="74">
        <v>45055</v>
      </c>
      <c r="B34" s="6"/>
      <c r="C34" s="6"/>
      <c r="D34" s="6"/>
      <c r="E34" s="6"/>
      <c r="F34" s="6">
        <f t="shared" si="0"/>
        <v>0</v>
      </c>
      <c r="G34" s="6"/>
      <c r="H34" s="98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</row>
    <row r="35" spans="1:20" ht="25.5" customHeight="1" x14ac:dyDescent="0.25">
      <c r="A35" s="74"/>
      <c r="B35" s="6"/>
      <c r="C35" s="6"/>
      <c r="D35" s="6"/>
      <c r="E35" s="6"/>
      <c r="F35" s="6">
        <f t="shared" si="0"/>
        <v>0</v>
      </c>
      <c r="G35" s="6"/>
      <c r="H35" s="98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</row>
    <row r="36" spans="1:20" ht="25.5" customHeight="1" x14ac:dyDescent="0.25">
      <c r="A36" s="74"/>
      <c r="B36" s="6"/>
      <c r="C36" s="6"/>
      <c r="D36" s="6"/>
      <c r="E36" s="6"/>
      <c r="F36" s="6">
        <f t="shared" si="0"/>
        <v>0</v>
      </c>
      <c r="G36" s="6"/>
      <c r="H36" s="98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</row>
    <row r="37" spans="1:20" ht="25.5" customHeight="1" x14ac:dyDescent="0.25">
      <c r="A37" s="74"/>
      <c r="B37" s="6"/>
      <c r="C37" s="6"/>
      <c r="D37" s="6"/>
      <c r="E37" s="6"/>
      <c r="F37" s="6">
        <f t="shared" si="0"/>
        <v>0</v>
      </c>
      <c r="G37" s="6"/>
      <c r="H37" s="98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</row>
    <row r="38" spans="1:20" ht="25.5" customHeight="1" x14ac:dyDescent="0.25">
      <c r="A38" s="74"/>
      <c r="B38" s="6"/>
      <c r="C38" s="6"/>
      <c r="D38" s="6"/>
      <c r="E38" s="6"/>
      <c r="F38" s="6">
        <f t="shared" si="0"/>
        <v>0</v>
      </c>
      <c r="G38" s="6"/>
      <c r="H38" s="98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</row>
    <row r="39" spans="1:20" ht="41.25" customHeight="1" x14ac:dyDescent="0.25">
      <c r="A39" s="165" t="s">
        <v>6</v>
      </c>
      <c r="B39" s="165"/>
      <c r="C39" s="165"/>
      <c r="D39" s="6">
        <f>SUM(D4:D38)</f>
        <v>5046</v>
      </c>
      <c r="E39" s="75"/>
      <c r="F39" s="6">
        <f>SUM(F4:F38)</f>
        <v>2155</v>
      </c>
      <c r="G39" s="6">
        <f t="shared" ref="G39:T39" si="1">SUM(G4:G38)</f>
        <v>1790</v>
      </c>
      <c r="H39" s="98">
        <f t="shared" si="1"/>
        <v>0</v>
      </c>
      <c r="I39" s="6">
        <f t="shared" si="1"/>
        <v>0</v>
      </c>
      <c r="J39" s="6">
        <f t="shared" si="1"/>
        <v>0</v>
      </c>
      <c r="K39" s="6">
        <f t="shared" si="1"/>
        <v>0</v>
      </c>
      <c r="L39" s="6">
        <f t="shared" si="1"/>
        <v>135</v>
      </c>
      <c r="M39" s="6">
        <f t="shared" si="1"/>
        <v>0</v>
      </c>
      <c r="N39" s="6">
        <f t="shared" si="1"/>
        <v>230</v>
      </c>
      <c r="O39" s="6">
        <f t="shared" si="1"/>
        <v>0</v>
      </c>
      <c r="P39" s="6">
        <f t="shared" si="1"/>
        <v>0</v>
      </c>
      <c r="Q39" s="6">
        <f t="shared" si="1"/>
        <v>0</v>
      </c>
      <c r="R39" s="6">
        <f t="shared" si="1"/>
        <v>0</v>
      </c>
      <c r="S39" s="6">
        <f t="shared" si="1"/>
        <v>0</v>
      </c>
      <c r="T39" s="6">
        <f t="shared" si="1"/>
        <v>0</v>
      </c>
    </row>
    <row r="40" spans="1:20" ht="15.75" thickBot="1" x14ac:dyDescent="0.3"/>
    <row r="41" spans="1:20" ht="30.75" customHeight="1" thickTop="1" thickBot="1" x14ac:dyDescent="0.3">
      <c r="E41" s="2" t="s">
        <v>26</v>
      </c>
      <c r="F41" s="3" t="s">
        <v>27</v>
      </c>
      <c r="G41" s="4" t="s">
        <v>28</v>
      </c>
    </row>
    <row r="42" spans="1:20" ht="48.75" customHeight="1" thickTop="1" x14ac:dyDescent="0.25">
      <c r="A42" s="2" t="s">
        <v>19</v>
      </c>
      <c r="B42" s="6">
        <f>+D39</f>
        <v>5046</v>
      </c>
      <c r="C42" s="7"/>
      <c r="E42" s="5">
        <v>200</v>
      </c>
      <c r="F42" s="6">
        <v>1</v>
      </c>
      <c r="G42" s="7">
        <f>+E42*F42</f>
        <v>200</v>
      </c>
    </row>
    <row r="43" spans="1:20" ht="46.5" customHeight="1" x14ac:dyDescent="0.25">
      <c r="A43" s="9" t="s">
        <v>20</v>
      </c>
      <c r="B43" s="6">
        <f>D8</f>
        <v>2381</v>
      </c>
      <c r="C43" s="7"/>
      <c r="E43" s="5">
        <v>100</v>
      </c>
      <c r="F43" s="6">
        <v>1</v>
      </c>
      <c r="G43" s="7">
        <f t="shared" ref="G43:G45" si="2">+E43*F43</f>
        <v>100</v>
      </c>
    </row>
    <row r="44" spans="1:20" ht="46.5" customHeight="1" x14ac:dyDescent="0.25">
      <c r="A44" s="9" t="s">
        <v>21</v>
      </c>
      <c r="B44" s="6">
        <f>F39</f>
        <v>2155</v>
      </c>
      <c r="C44" s="7"/>
      <c r="E44" s="5">
        <v>50</v>
      </c>
      <c r="F44" s="6">
        <v>1</v>
      </c>
      <c r="G44" s="7">
        <f t="shared" si="2"/>
        <v>50</v>
      </c>
    </row>
    <row r="45" spans="1:20" ht="51.75" customHeight="1" x14ac:dyDescent="0.25">
      <c r="A45" s="9" t="s">
        <v>22</v>
      </c>
      <c r="B45" s="11">
        <f>+B42-B43-B44</f>
        <v>510</v>
      </c>
      <c r="C45" s="12"/>
      <c r="E45" s="5">
        <v>20</v>
      </c>
      <c r="F45" s="6"/>
      <c r="G45" s="7">
        <f t="shared" si="2"/>
        <v>0</v>
      </c>
    </row>
    <row r="46" spans="1:20" ht="46.5" customHeight="1" x14ac:dyDescent="0.25">
      <c r="A46" s="9" t="s">
        <v>23</v>
      </c>
      <c r="B46" s="11">
        <f>G49</f>
        <v>372</v>
      </c>
      <c r="C46" s="12"/>
      <c r="D46" s="1"/>
      <c r="E46" s="5">
        <v>10</v>
      </c>
      <c r="F46" s="6">
        <v>2</v>
      </c>
      <c r="G46" s="7">
        <f>+E46*F46</f>
        <v>20</v>
      </c>
    </row>
    <row r="47" spans="1:20" ht="34.5" customHeight="1" x14ac:dyDescent="0.25">
      <c r="A47" s="9" t="s">
        <v>24</v>
      </c>
      <c r="B47" s="11">
        <f>IF(B45&lt;B46,B46-B45,0)</f>
        <v>0</v>
      </c>
      <c r="C47" s="12"/>
      <c r="E47" s="5">
        <v>5</v>
      </c>
      <c r="F47" s="6"/>
      <c r="G47" s="7">
        <f>+E47*F47</f>
        <v>0</v>
      </c>
    </row>
    <row r="48" spans="1:20" ht="36.75" customHeight="1" x14ac:dyDescent="0.25">
      <c r="A48" s="9" t="s">
        <v>7</v>
      </c>
      <c r="B48" s="11">
        <f>IF(B45&gt;B46,B45-B46,0)</f>
        <v>138</v>
      </c>
      <c r="C48" s="12"/>
      <c r="E48" s="5">
        <v>1</v>
      </c>
      <c r="F48" s="6">
        <v>2</v>
      </c>
      <c r="G48" s="7">
        <f>+E48*F48</f>
        <v>2</v>
      </c>
    </row>
    <row r="49" spans="1:7" ht="30" customHeight="1" thickBot="1" x14ac:dyDescent="0.35">
      <c r="A49" s="10" t="s">
        <v>29</v>
      </c>
      <c r="B49" s="13" t="b">
        <f>B45=B46</f>
        <v>0</v>
      </c>
      <c r="C49" s="14"/>
      <c r="E49" s="159" t="s">
        <v>25</v>
      </c>
      <c r="F49" s="160"/>
      <c r="G49" s="8">
        <f>SUM(G42:G48)</f>
        <v>372</v>
      </c>
    </row>
    <row r="50" spans="1:7" ht="15.75" thickTop="1" x14ac:dyDescent="0.25"/>
  </sheetData>
  <mergeCells count="3">
    <mergeCell ref="E49:F49"/>
    <mergeCell ref="E2:L2"/>
    <mergeCell ref="A39:C39"/>
  </mergeCells>
  <printOptions horizontalCentered="1" verticalCentered="1"/>
  <pageMargins left="0.25" right="0.25" top="0.75" bottom="0.75" header="0.3" footer="0.3"/>
  <pageSetup paperSize="9" scale="36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0"/>
  <sheetViews>
    <sheetView rightToLeft="1" topLeftCell="A41" zoomScale="70" zoomScaleNormal="70" workbookViewId="0">
      <selection activeCell="D15" sqref="D15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31.7109375" bestFit="1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4.42578125" bestFit="1" customWidth="1"/>
    <col min="16" max="16" width="15.85546875" bestFit="1" customWidth="1"/>
    <col min="18" max="19" width="14" customWidth="1"/>
    <col min="20" max="20" width="10.140625" customWidth="1"/>
  </cols>
  <sheetData>
    <row r="1" spans="1:20" ht="15.75" hidden="1" thickBot="1" x14ac:dyDescent="0.3"/>
    <row r="2" spans="1:20" ht="25.5" customHeight="1" thickBot="1" x14ac:dyDescent="0.3">
      <c r="A2" s="50" t="s">
        <v>0</v>
      </c>
      <c r="B2" s="51"/>
      <c r="C2" s="51"/>
      <c r="D2" s="52"/>
      <c r="E2" s="157">
        <f ca="1">TODAY()</f>
        <v>45118</v>
      </c>
      <c r="F2" s="158"/>
      <c r="G2" s="158"/>
      <c r="H2" s="158"/>
      <c r="I2" s="158"/>
      <c r="J2" s="158"/>
      <c r="K2" s="158"/>
      <c r="L2" s="158"/>
      <c r="M2" s="53"/>
      <c r="N2" s="53"/>
      <c r="O2" s="53"/>
      <c r="P2" s="53"/>
      <c r="Q2" s="53"/>
      <c r="R2" s="53"/>
      <c r="S2" s="53"/>
      <c r="T2" s="53"/>
    </row>
    <row r="3" spans="1:20" ht="36.75" customHeight="1" x14ac:dyDescent="0.25">
      <c r="A3" s="54" t="s">
        <v>4</v>
      </c>
      <c r="B3" s="54" t="s">
        <v>3</v>
      </c>
      <c r="C3" s="54" t="s">
        <v>1</v>
      </c>
      <c r="D3" s="54" t="s">
        <v>2</v>
      </c>
      <c r="E3" s="54" t="s">
        <v>1</v>
      </c>
      <c r="F3" s="54" t="s">
        <v>13</v>
      </c>
      <c r="G3" s="54" t="s">
        <v>5</v>
      </c>
      <c r="H3" s="57" t="s">
        <v>8</v>
      </c>
      <c r="I3" s="18" t="s">
        <v>9</v>
      </c>
      <c r="J3" s="18" t="s">
        <v>10</v>
      </c>
      <c r="K3" s="18" t="s">
        <v>11</v>
      </c>
      <c r="L3" s="18" t="s">
        <v>12</v>
      </c>
      <c r="M3" s="18" t="s">
        <v>31</v>
      </c>
      <c r="N3" s="18" t="s">
        <v>45</v>
      </c>
      <c r="O3" s="18" t="s">
        <v>32</v>
      </c>
      <c r="P3" s="18" t="s">
        <v>34</v>
      </c>
      <c r="Q3" s="18" t="s">
        <v>35</v>
      </c>
      <c r="R3" s="18" t="s">
        <v>39</v>
      </c>
      <c r="S3" s="18" t="s">
        <v>38</v>
      </c>
      <c r="T3" s="19" t="s">
        <v>40</v>
      </c>
    </row>
    <row r="4" spans="1:20" ht="25.5" customHeight="1" x14ac:dyDescent="0.25">
      <c r="A4" s="59">
        <v>45087</v>
      </c>
      <c r="B4" s="15"/>
      <c r="C4" s="15" t="s">
        <v>14</v>
      </c>
      <c r="D4" s="15">
        <v>340</v>
      </c>
      <c r="E4" s="15" t="s">
        <v>223</v>
      </c>
      <c r="F4" s="15">
        <f>SUM(G4:T4)</f>
        <v>70</v>
      </c>
      <c r="G4" s="15"/>
      <c r="H4" s="56">
        <v>70</v>
      </c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</row>
    <row r="5" spans="1:20" ht="25.5" customHeight="1" x14ac:dyDescent="0.25">
      <c r="A5" s="59">
        <v>45087</v>
      </c>
      <c r="B5" s="15"/>
      <c r="C5" s="15" t="s">
        <v>15</v>
      </c>
      <c r="D5" s="15">
        <v>3429</v>
      </c>
      <c r="E5" s="15" t="s">
        <v>114</v>
      </c>
      <c r="F5" s="15">
        <f t="shared" ref="F5:F38" si="0">SUM(G5:T5)</f>
        <v>10</v>
      </c>
      <c r="G5" s="15"/>
      <c r="H5" s="56"/>
      <c r="I5" s="15"/>
      <c r="J5" s="15"/>
      <c r="K5" s="15"/>
      <c r="L5" s="15"/>
      <c r="M5" s="15"/>
      <c r="N5" s="15"/>
      <c r="O5" s="15"/>
      <c r="P5" s="15">
        <v>10</v>
      </c>
      <c r="Q5" s="15"/>
      <c r="R5" s="15"/>
      <c r="S5" s="15"/>
      <c r="T5" s="15"/>
    </row>
    <row r="6" spans="1:20" ht="25.5" customHeight="1" x14ac:dyDescent="0.25">
      <c r="A6" s="59">
        <v>45087</v>
      </c>
      <c r="B6" s="15"/>
      <c r="C6" s="15" t="s">
        <v>16</v>
      </c>
      <c r="D6" s="15">
        <v>0</v>
      </c>
      <c r="E6" s="15" t="s">
        <v>68</v>
      </c>
      <c r="F6" s="15">
        <f t="shared" si="0"/>
        <v>225</v>
      </c>
      <c r="G6" s="15"/>
      <c r="H6" s="56"/>
      <c r="I6" s="15"/>
      <c r="J6" s="15"/>
      <c r="K6" s="15"/>
      <c r="L6" s="15">
        <f>90+45+45+45</f>
        <v>225</v>
      </c>
      <c r="M6" s="15"/>
      <c r="N6" s="15"/>
      <c r="O6" s="15"/>
      <c r="P6" s="15"/>
      <c r="Q6" s="15"/>
      <c r="R6" s="15"/>
      <c r="S6" s="15"/>
      <c r="T6" s="15"/>
    </row>
    <row r="7" spans="1:20" ht="25.5" customHeight="1" x14ac:dyDescent="0.25">
      <c r="A7" s="59">
        <v>45087</v>
      </c>
      <c r="B7" s="15"/>
      <c r="C7" s="15" t="s">
        <v>17</v>
      </c>
      <c r="D7" s="15">
        <v>348</v>
      </c>
      <c r="E7" s="15" t="s">
        <v>224</v>
      </c>
      <c r="F7" s="15">
        <f>SUM(G7:T7)</f>
        <v>740</v>
      </c>
      <c r="G7" s="15"/>
      <c r="H7" s="56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>
        <v>740</v>
      </c>
    </row>
    <row r="8" spans="1:20" ht="25.5" customHeight="1" x14ac:dyDescent="0.25">
      <c r="A8" s="59">
        <v>45087</v>
      </c>
      <c r="B8" s="15"/>
      <c r="C8" s="15" t="s">
        <v>18</v>
      </c>
      <c r="D8" s="15">
        <f>150+75+32+400+70</f>
        <v>727</v>
      </c>
      <c r="E8" s="15" t="s">
        <v>125</v>
      </c>
      <c r="F8" s="15">
        <f t="shared" si="0"/>
        <v>10</v>
      </c>
      <c r="G8" s="15"/>
      <c r="H8" s="56"/>
      <c r="I8" s="15"/>
      <c r="J8" s="15"/>
      <c r="K8" s="15"/>
      <c r="L8" s="15"/>
      <c r="M8" s="15">
        <v>10</v>
      </c>
      <c r="N8" s="15"/>
      <c r="O8" s="15"/>
      <c r="P8" s="15"/>
      <c r="Q8" s="15"/>
      <c r="R8" s="15"/>
      <c r="S8" s="15"/>
      <c r="T8" s="15"/>
    </row>
    <row r="9" spans="1:20" ht="25.5" customHeight="1" x14ac:dyDescent="0.25">
      <c r="A9" s="59">
        <v>45087</v>
      </c>
      <c r="B9" s="15"/>
      <c r="C9" s="15" t="s">
        <v>30</v>
      </c>
      <c r="D9" s="15">
        <v>0</v>
      </c>
      <c r="E9" s="15" t="s">
        <v>112</v>
      </c>
      <c r="F9" s="15">
        <f t="shared" si="0"/>
        <v>300</v>
      </c>
      <c r="G9" s="15"/>
      <c r="H9" s="56"/>
      <c r="I9" s="15"/>
      <c r="J9" s="15"/>
      <c r="K9" s="15"/>
      <c r="L9" s="15"/>
      <c r="M9" s="15"/>
      <c r="N9" s="15"/>
      <c r="O9" s="15"/>
      <c r="P9" s="15"/>
      <c r="Q9" s="15"/>
      <c r="R9" s="15">
        <v>300</v>
      </c>
      <c r="S9" s="15"/>
      <c r="T9" s="15"/>
    </row>
    <row r="10" spans="1:20" ht="25.5" customHeight="1" x14ac:dyDescent="0.25">
      <c r="A10" s="59">
        <v>45087</v>
      </c>
      <c r="B10" s="15"/>
      <c r="C10" s="15" t="s">
        <v>46</v>
      </c>
      <c r="D10" s="15">
        <v>0</v>
      </c>
      <c r="E10" s="15" t="s">
        <v>118</v>
      </c>
      <c r="F10" s="15">
        <f t="shared" si="0"/>
        <v>170</v>
      </c>
      <c r="G10" s="15">
        <v>170</v>
      </c>
      <c r="H10" s="56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ht="25.5" customHeight="1" x14ac:dyDescent="0.25">
      <c r="A11" s="59">
        <v>45087</v>
      </c>
      <c r="B11" s="15"/>
      <c r="C11" s="15"/>
      <c r="D11" s="15"/>
      <c r="E11" s="15" t="s">
        <v>117</v>
      </c>
      <c r="F11" s="15">
        <f t="shared" si="0"/>
        <v>150</v>
      </c>
      <c r="G11" s="15">
        <v>150</v>
      </c>
      <c r="H11" s="56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</row>
    <row r="12" spans="1:20" ht="25.5" customHeight="1" x14ac:dyDescent="0.25">
      <c r="A12" s="59">
        <v>45087</v>
      </c>
      <c r="B12" s="15"/>
      <c r="C12" s="15"/>
      <c r="D12" s="15"/>
      <c r="E12" s="15" t="s">
        <v>74</v>
      </c>
      <c r="F12" s="15">
        <f t="shared" si="0"/>
        <v>150</v>
      </c>
      <c r="G12" s="15">
        <v>150</v>
      </c>
      <c r="H12" s="56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</row>
    <row r="13" spans="1:20" ht="25.5" customHeight="1" x14ac:dyDescent="0.25">
      <c r="A13" s="59">
        <v>45087</v>
      </c>
      <c r="B13" s="15"/>
      <c r="C13" s="15"/>
      <c r="D13" s="15"/>
      <c r="E13" s="15" t="s">
        <v>146</v>
      </c>
      <c r="F13" s="15">
        <f t="shared" si="0"/>
        <v>150</v>
      </c>
      <c r="G13" s="15">
        <v>150</v>
      </c>
      <c r="H13" s="56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ht="25.5" customHeight="1" x14ac:dyDescent="0.25">
      <c r="A14" s="59">
        <v>45087</v>
      </c>
      <c r="B14" s="15"/>
      <c r="C14" s="15"/>
      <c r="D14" s="15"/>
      <c r="E14" s="15" t="s">
        <v>79</v>
      </c>
      <c r="F14" s="15">
        <f t="shared" si="0"/>
        <v>50</v>
      </c>
      <c r="G14" s="15">
        <v>50</v>
      </c>
      <c r="H14" s="56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ht="25.5" customHeight="1" x14ac:dyDescent="0.25">
      <c r="A15" s="59">
        <v>45087</v>
      </c>
      <c r="B15" s="15"/>
      <c r="C15" s="15"/>
      <c r="D15" s="15"/>
      <c r="E15" s="15" t="s">
        <v>121</v>
      </c>
      <c r="F15" s="15">
        <f t="shared" si="0"/>
        <v>160</v>
      </c>
      <c r="G15" s="15">
        <v>160</v>
      </c>
      <c r="H15" s="56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ht="25.5" customHeight="1" x14ac:dyDescent="0.25">
      <c r="A16" s="59">
        <v>45087</v>
      </c>
      <c r="B16" s="15"/>
      <c r="C16" s="15"/>
      <c r="D16" s="15"/>
      <c r="E16" s="15" t="s">
        <v>127</v>
      </c>
      <c r="F16" s="15">
        <f t="shared" si="0"/>
        <v>200</v>
      </c>
      <c r="G16" s="15">
        <v>200</v>
      </c>
      <c r="H16" s="56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</row>
    <row r="17" spans="1:20" ht="25.5" customHeight="1" x14ac:dyDescent="0.25">
      <c r="A17" s="59">
        <v>45087</v>
      </c>
      <c r="B17" s="15"/>
      <c r="C17" s="15"/>
      <c r="D17" s="15"/>
      <c r="E17" s="15" t="s">
        <v>77</v>
      </c>
      <c r="F17" s="15">
        <f t="shared" si="0"/>
        <v>70</v>
      </c>
      <c r="G17" s="15">
        <v>70</v>
      </c>
      <c r="H17" s="56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</row>
    <row r="18" spans="1:20" ht="25.5" customHeight="1" x14ac:dyDescent="0.25">
      <c r="A18" s="59">
        <v>45087</v>
      </c>
      <c r="B18" s="15"/>
      <c r="C18" s="15"/>
      <c r="D18" s="15"/>
      <c r="E18" s="15" t="s">
        <v>126</v>
      </c>
      <c r="F18" s="15">
        <f t="shared" si="0"/>
        <v>170</v>
      </c>
      <c r="G18" s="15">
        <v>170</v>
      </c>
      <c r="H18" s="56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ht="25.5" customHeight="1" x14ac:dyDescent="0.25">
      <c r="A19" s="59"/>
      <c r="B19" s="15"/>
      <c r="C19" s="15"/>
      <c r="D19" s="15"/>
      <c r="E19" s="15" t="s">
        <v>225</v>
      </c>
      <c r="F19" s="15">
        <f t="shared" si="0"/>
        <v>350</v>
      </c>
      <c r="G19" s="15">
        <v>350</v>
      </c>
      <c r="H19" s="56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ht="25.5" customHeight="1" x14ac:dyDescent="0.25">
      <c r="A20" s="59"/>
      <c r="B20" s="15"/>
      <c r="C20" s="15"/>
      <c r="D20" s="15"/>
      <c r="E20" s="15" t="s">
        <v>120</v>
      </c>
      <c r="F20" s="15">
        <f t="shared" si="0"/>
        <v>50</v>
      </c>
      <c r="G20" s="15">
        <v>50</v>
      </c>
      <c r="H20" s="56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ht="25.5" customHeight="1" x14ac:dyDescent="0.25">
      <c r="A21" s="59"/>
      <c r="B21" s="15"/>
      <c r="C21" s="15"/>
      <c r="D21" s="15"/>
      <c r="E21" s="15" t="s">
        <v>226</v>
      </c>
      <c r="F21" s="15">
        <f t="shared" si="0"/>
        <v>170</v>
      </c>
      <c r="G21" s="15">
        <v>170</v>
      </c>
      <c r="H21" s="56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25.5" customHeight="1" x14ac:dyDescent="0.25">
      <c r="A22" s="59"/>
      <c r="B22" s="15"/>
      <c r="C22" s="15"/>
      <c r="D22" s="15"/>
      <c r="E22" s="15" t="s">
        <v>88</v>
      </c>
      <c r="F22" s="15">
        <f t="shared" si="0"/>
        <v>150</v>
      </c>
      <c r="G22" s="15">
        <v>150</v>
      </c>
      <c r="H22" s="56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</row>
    <row r="23" spans="1:20" ht="25.5" customHeight="1" x14ac:dyDescent="0.25">
      <c r="A23" s="59"/>
      <c r="B23" s="15"/>
      <c r="C23" s="15"/>
      <c r="D23" s="15"/>
      <c r="E23" s="15" t="s">
        <v>86</v>
      </c>
      <c r="F23" s="15">
        <f t="shared" si="0"/>
        <v>120</v>
      </c>
      <c r="G23" s="15">
        <v>120</v>
      </c>
      <c r="H23" s="56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</row>
    <row r="24" spans="1:20" ht="25.5" customHeight="1" x14ac:dyDescent="0.25">
      <c r="A24" s="59"/>
      <c r="B24" s="15"/>
      <c r="C24" s="15"/>
      <c r="D24" s="15"/>
      <c r="E24" s="15" t="s">
        <v>85</v>
      </c>
      <c r="F24" s="15">
        <f t="shared" si="0"/>
        <v>100</v>
      </c>
      <c r="G24" s="15">
        <v>100</v>
      </c>
      <c r="H24" s="56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</row>
    <row r="25" spans="1:20" ht="25.5" customHeight="1" x14ac:dyDescent="0.25">
      <c r="A25" s="59"/>
      <c r="B25" s="15"/>
      <c r="C25" s="15"/>
      <c r="D25" s="15"/>
      <c r="E25" s="15" t="s">
        <v>80</v>
      </c>
      <c r="F25" s="15">
        <f t="shared" si="0"/>
        <v>50</v>
      </c>
      <c r="G25" s="15">
        <v>50</v>
      </c>
      <c r="H25" s="56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</row>
    <row r="26" spans="1:20" ht="25.5" customHeight="1" x14ac:dyDescent="0.25">
      <c r="A26" s="59"/>
      <c r="B26" s="15"/>
      <c r="C26" s="15"/>
      <c r="D26" s="15"/>
      <c r="E26" s="15" t="s">
        <v>227</v>
      </c>
      <c r="F26" s="15">
        <f t="shared" si="0"/>
        <v>30</v>
      </c>
      <c r="G26" s="15">
        <v>30</v>
      </c>
      <c r="H26" s="56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</row>
    <row r="27" spans="1:20" ht="25.5" customHeight="1" x14ac:dyDescent="0.25">
      <c r="A27" s="59"/>
      <c r="B27" s="15"/>
      <c r="C27" s="15"/>
      <c r="D27" s="15"/>
      <c r="E27" s="15" t="s">
        <v>228</v>
      </c>
      <c r="F27" s="15">
        <f t="shared" si="0"/>
        <v>150</v>
      </c>
      <c r="G27" s="15">
        <v>150</v>
      </c>
      <c r="H27" s="56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</row>
    <row r="28" spans="1:20" ht="25.5" customHeight="1" x14ac:dyDescent="0.25">
      <c r="A28" s="59"/>
      <c r="B28" s="15"/>
      <c r="C28" s="15"/>
      <c r="D28" s="15"/>
      <c r="E28" s="15"/>
      <c r="F28" s="15">
        <f t="shared" si="0"/>
        <v>0</v>
      </c>
      <c r="G28" s="15"/>
      <c r="H28" s="56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</row>
    <row r="29" spans="1:20" ht="25.5" customHeight="1" x14ac:dyDescent="0.25">
      <c r="A29" s="59"/>
      <c r="B29" s="15"/>
      <c r="C29" s="15"/>
      <c r="D29" s="15"/>
      <c r="E29" s="15"/>
      <c r="F29" s="15">
        <f t="shared" si="0"/>
        <v>0</v>
      </c>
      <c r="G29" s="15"/>
      <c r="H29" s="56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</row>
    <row r="30" spans="1:20" ht="25.5" customHeight="1" x14ac:dyDescent="0.25">
      <c r="A30" s="59"/>
      <c r="B30" s="15"/>
      <c r="C30" s="15"/>
      <c r="D30" s="15"/>
      <c r="E30" s="15"/>
      <c r="F30" s="15">
        <f t="shared" si="0"/>
        <v>0</v>
      </c>
      <c r="G30" s="15"/>
      <c r="H30" s="56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</row>
    <row r="31" spans="1:20" ht="25.5" customHeight="1" x14ac:dyDescent="0.25">
      <c r="A31" s="59"/>
      <c r="B31" s="15"/>
      <c r="C31" s="15"/>
      <c r="D31" s="15"/>
      <c r="E31" s="15"/>
      <c r="F31" s="15">
        <f t="shared" si="0"/>
        <v>0</v>
      </c>
      <c r="G31" s="15"/>
      <c r="H31" s="56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</row>
    <row r="32" spans="1:20" ht="25.5" customHeight="1" x14ac:dyDescent="0.25">
      <c r="A32" s="59"/>
      <c r="B32" s="15"/>
      <c r="C32" s="15"/>
      <c r="D32" s="15"/>
      <c r="E32" s="15"/>
      <c r="F32" s="15">
        <f t="shared" si="0"/>
        <v>0</v>
      </c>
      <c r="G32" s="15"/>
      <c r="H32" s="56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</row>
    <row r="33" spans="1:20" ht="25.5" customHeight="1" x14ac:dyDescent="0.25">
      <c r="A33" s="59"/>
      <c r="B33" s="15"/>
      <c r="C33" s="15"/>
      <c r="D33" s="15"/>
      <c r="E33" s="15"/>
      <c r="F33" s="15">
        <f t="shared" si="0"/>
        <v>0</v>
      </c>
      <c r="G33" s="15"/>
      <c r="H33" s="56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</row>
    <row r="34" spans="1:20" ht="25.5" customHeight="1" x14ac:dyDescent="0.25">
      <c r="A34" s="59"/>
      <c r="B34" s="15"/>
      <c r="C34" s="15"/>
      <c r="D34" s="15"/>
      <c r="E34" s="15"/>
      <c r="F34" s="15">
        <f t="shared" si="0"/>
        <v>0</v>
      </c>
      <c r="G34" s="15"/>
      <c r="H34" s="56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</row>
    <row r="35" spans="1:20" ht="25.5" customHeight="1" x14ac:dyDescent="0.25">
      <c r="A35" s="59"/>
      <c r="B35" s="15"/>
      <c r="C35" s="15"/>
      <c r="D35" s="15"/>
      <c r="E35" s="15"/>
      <c r="F35" s="15">
        <f t="shared" si="0"/>
        <v>0</v>
      </c>
      <c r="G35" s="15"/>
      <c r="H35" s="56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</row>
    <row r="36" spans="1:20" ht="25.5" customHeight="1" x14ac:dyDescent="0.25">
      <c r="A36" s="59"/>
      <c r="B36" s="15"/>
      <c r="C36" s="15"/>
      <c r="D36" s="15"/>
      <c r="E36" s="15"/>
      <c r="F36" s="15">
        <f t="shared" si="0"/>
        <v>0</v>
      </c>
      <c r="G36" s="15"/>
      <c r="H36" s="56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</row>
    <row r="37" spans="1:20" ht="25.5" customHeight="1" x14ac:dyDescent="0.25">
      <c r="A37" s="59"/>
      <c r="B37" s="15"/>
      <c r="C37" s="15"/>
      <c r="D37" s="15"/>
      <c r="E37" s="15"/>
      <c r="F37" s="15">
        <f t="shared" si="0"/>
        <v>0</v>
      </c>
      <c r="G37" s="15"/>
      <c r="H37" s="56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</row>
    <row r="38" spans="1:20" ht="25.5" customHeight="1" x14ac:dyDescent="0.25">
      <c r="A38" s="59"/>
      <c r="B38" s="15"/>
      <c r="C38" s="15"/>
      <c r="D38" s="15"/>
      <c r="E38" s="15"/>
      <c r="F38" s="15">
        <f t="shared" si="0"/>
        <v>0</v>
      </c>
      <c r="G38" s="15"/>
      <c r="H38" s="56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</row>
    <row r="39" spans="1:20" ht="41.25" customHeight="1" x14ac:dyDescent="0.25">
      <c r="A39" s="161" t="s">
        <v>6</v>
      </c>
      <c r="B39" s="161"/>
      <c r="C39" s="161"/>
      <c r="D39" s="15">
        <f>SUM(D4:D38)</f>
        <v>4844</v>
      </c>
      <c r="E39" s="55"/>
      <c r="F39" s="15">
        <f>SUM(F4:F38)</f>
        <v>3795</v>
      </c>
      <c r="G39" s="15">
        <f t="shared" ref="G39:T39" si="1">SUM(G4:G38)</f>
        <v>2440</v>
      </c>
      <c r="H39" s="56">
        <f t="shared" si="1"/>
        <v>70</v>
      </c>
      <c r="I39" s="15">
        <f t="shared" si="1"/>
        <v>0</v>
      </c>
      <c r="J39" s="15">
        <f t="shared" si="1"/>
        <v>0</v>
      </c>
      <c r="K39" s="15">
        <f t="shared" si="1"/>
        <v>0</v>
      </c>
      <c r="L39" s="15">
        <f t="shared" si="1"/>
        <v>225</v>
      </c>
      <c r="M39" s="15">
        <f t="shared" si="1"/>
        <v>10</v>
      </c>
      <c r="N39" s="15">
        <f t="shared" si="1"/>
        <v>0</v>
      </c>
      <c r="O39" s="15">
        <f t="shared" si="1"/>
        <v>0</v>
      </c>
      <c r="P39" s="15">
        <f t="shared" si="1"/>
        <v>10</v>
      </c>
      <c r="Q39" s="15">
        <f t="shared" si="1"/>
        <v>0</v>
      </c>
      <c r="R39" s="15">
        <f t="shared" si="1"/>
        <v>300</v>
      </c>
      <c r="S39" s="15">
        <f t="shared" si="1"/>
        <v>0</v>
      </c>
      <c r="T39" s="15">
        <f t="shared" si="1"/>
        <v>740</v>
      </c>
    </row>
    <row r="40" spans="1:20" ht="15.75" thickBot="1" x14ac:dyDescent="0.3">
      <c r="D40" s="17"/>
    </row>
    <row r="41" spans="1:20" ht="30.75" customHeight="1" thickTop="1" thickBot="1" x14ac:dyDescent="0.3">
      <c r="E41" s="2" t="s">
        <v>26</v>
      </c>
      <c r="F41" s="3" t="s">
        <v>27</v>
      </c>
      <c r="G41" s="4" t="s">
        <v>28</v>
      </c>
    </row>
    <row r="42" spans="1:20" ht="48.75" customHeight="1" thickTop="1" x14ac:dyDescent="0.25">
      <c r="A42" s="2" t="s">
        <v>19</v>
      </c>
      <c r="B42" s="6">
        <f>+D39</f>
        <v>4844</v>
      </c>
      <c r="C42" s="7"/>
      <c r="E42" s="5">
        <v>200</v>
      </c>
      <c r="F42" s="6">
        <v>2</v>
      </c>
      <c r="G42" s="7">
        <f>+E42*F42</f>
        <v>400</v>
      </c>
    </row>
    <row r="43" spans="1:20" ht="46.5" customHeight="1" x14ac:dyDescent="0.25">
      <c r="A43" s="9" t="s">
        <v>20</v>
      </c>
      <c r="B43" s="6">
        <f>D8</f>
        <v>727</v>
      </c>
      <c r="C43" s="7"/>
      <c r="E43" s="5">
        <v>100</v>
      </c>
      <c r="F43" s="6">
        <v>1</v>
      </c>
      <c r="G43" s="7">
        <f t="shared" ref="G43:G45" si="2">+E43*F43</f>
        <v>100</v>
      </c>
    </row>
    <row r="44" spans="1:20" ht="46.5" customHeight="1" x14ac:dyDescent="0.25">
      <c r="A44" s="9" t="s">
        <v>21</v>
      </c>
      <c r="B44" s="6">
        <f>F39</f>
        <v>3795</v>
      </c>
      <c r="C44" s="7"/>
      <c r="E44" s="5">
        <v>50</v>
      </c>
      <c r="F44" s="6"/>
      <c r="G44" s="7">
        <f t="shared" si="2"/>
        <v>0</v>
      </c>
    </row>
    <row r="45" spans="1:20" ht="51.75" customHeight="1" x14ac:dyDescent="0.25">
      <c r="A45" s="9" t="s">
        <v>22</v>
      </c>
      <c r="B45" s="11">
        <f>+B42-B43-B44</f>
        <v>322</v>
      </c>
      <c r="C45" s="12"/>
      <c r="E45" s="5">
        <v>20</v>
      </c>
      <c r="F45" s="6">
        <v>1</v>
      </c>
      <c r="G45" s="7">
        <f t="shared" si="2"/>
        <v>20</v>
      </c>
    </row>
    <row r="46" spans="1:20" ht="46.5" customHeight="1" x14ac:dyDescent="0.25">
      <c r="A46" s="9" t="s">
        <v>23</v>
      </c>
      <c r="B46" s="11">
        <f>G49</f>
        <v>522</v>
      </c>
      <c r="C46" s="12"/>
      <c r="D46" s="1"/>
      <c r="E46" s="5">
        <v>10</v>
      </c>
      <c r="F46" s="6"/>
      <c r="G46" s="7">
        <f>+E46*F46</f>
        <v>0</v>
      </c>
    </row>
    <row r="47" spans="1:20" ht="34.5" customHeight="1" x14ac:dyDescent="0.25">
      <c r="A47" s="9" t="s">
        <v>24</v>
      </c>
      <c r="B47" s="11">
        <f>IF(B45&lt;B46,B46-B45,0)</f>
        <v>200</v>
      </c>
      <c r="C47" s="12"/>
      <c r="E47" s="5">
        <v>5</v>
      </c>
      <c r="F47" s="6"/>
      <c r="G47" s="7">
        <f>+E47*F47</f>
        <v>0</v>
      </c>
    </row>
    <row r="48" spans="1:20" ht="36.75" customHeight="1" x14ac:dyDescent="0.25">
      <c r="A48" s="9" t="s">
        <v>7</v>
      </c>
      <c r="B48" s="11">
        <f>IF(B45&gt;B46,B45-B46,0)</f>
        <v>0</v>
      </c>
      <c r="C48" s="12"/>
      <c r="E48" s="5">
        <v>1</v>
      </c>
      <c r="F48" s="6">
        <v>2</v>
      </c>
      <c r="G48" s="7">
        <f>+E48*F48</f>
        <v>2</v>
      </c>
    </row>
    <row r="49" spans="1:7" ht="30" customHeight="1" thickBot="1" x14ac:dyDescent="0.35">
      <c r="A49" s="10" t="s">
        <v>29</v>
      </c>
      <c r="B49" s="13" t="b">
        <f>B45=B46</f>
        <v>0</v>
      </c>
      <c r="C49" s="14"/>
      <c r="E49" s="159" t="s">
        <v>25</v>
      </c>
      <c r="F49" s="160"/>
      <c r="G49" s="8">
        <f>SUM(G42:G48)</f>
        <v>522</v>
      </c>
    </row>
    <row r="50" spans="1:7" ht="15.75" thickTop="1" x14ac:dyDescent="0.25"/>
  </sheetData>
  <mergeCells count="3">
    <mergeCell ref="E49:F49"/>
    <mergeCell ref="E2:L2"/>
    <mergeCell ref="A39:C39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6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0"/>
  <sheetViews>
    <sheetView rightToLeft="1" topLeftCell="D41" zoomScale="86" zoomScaleNormal="86" workbookViewId="0">
      <selection activeCell="E26" sqref="E26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4.14062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4.42578125" bestFit="1" customWidth="1"/>
    <col min="16" max="16" width="15.7109375" bestFit="1" customWidth="1"/>
    <col min="17" max="17" width="6.140625" bestFit="1" customWidth="1"/>
    <col min="18" max="18" width="15.85546875" bestFit="1" customWidth="1"/>
    <col min="19" max="19" width="14" customWidth="1"/>
    <col min="20" max="20" width="10.140625" customWidth="1"/>
  </cols>
  <sheetData>
    <row r="1" spans="1:20" ht="15.75" hidden="1" thickBot="1" x14ac:dyDescent="0.3"/>
    <row r="2" spans="1:20" ht="25.5" customHeight="1" thickBot="1" x14ac:dyDescent="0.3">
      <c r="A2" s="50" t="s">
        <v>0</v>
      </c>
      <c r="B2" s="51"/>
      <c r="C2" s="51"/>
      <c r="D2" s="52"/>
      <c r="E2" s="157">
        <f ca="1">TODAY()</f>
        <v>45118</v>
      </c>
      <c r="F2" s="158"/>
      <c r="G2" s="158"/>
      <c r="H2" s="158"/>
      <c r="I2" s="158"/>
      <c r="J2" s="158"/>
      <c r="K2" s="158"/>
      <c r="L2" s="158"/>
      <c r="M2" s="53"/>
      <c r="N2" s="53"/>
      <c r="O2" s="53"/>
      <c r="P2" s="53"/>
      <c r="Q2" s="53"/>
      <c r="R2" s="53"/>
      <c r="S2" s="53"/>
      <c r="T2" s="53"/>
    </row>
    <row r="3" spans="1:20" ht="36.75" customHeight="1" x14ac:dyDescent="0.25">
      <c r="A3" s="54" t="s">
        <v>4</v>
      </c>
      <c r="B3" s="54" t="s">
        <v>3</v>
      </c>
      <c r="C3" s="54" t="s">
        <v>1</v>
      </c>
      <c r="D3" s="54" t="s">
        <v>2</v>
      </c>
      <c r="E3" s="54" t="s">
        <v>1</v>
      </c>
      <c r="F3" s="54" t="s">
        <v>13</v>
      </c>
      <c r="G3" s="54" t="s">
        <v>5</v>
      </c>
      <c r="H3" s="57" t="s">
        <v>8</v>
      </c>
      <c r="I3" s="18" t="s">
        <v>9</v>
      </c>
      <c r="J3" s="18" t="s">
        <v>10</v>
      </c>
      <c r="K3" s="18" t="s">
        <v>11</v>
      </c>
      <c r="L3" s="18" t="s">
        <v>12</v>
      </c>
      <c r="M3" s="18" t="s">
        <v>31</v>
      </c>
      <c r="N3" s="18" t="s">
        <v>45</v>
      </c>
      <c r="O3" s="18" t="s">
        <v>32</v>
      </c>
      <c r="P3" s="18" t="s">
        <v>34</v>
      </c>
      <c r="Q3" s="18" t="s">
        <v>35</v>
      </c>
      <c r="R3" s="18" t="s">
        <v>39</v>
      </c>
      <c r="S3" s="18" t="s">
        <v>38</v>
      </c>
      <c r="T3" s="19" t="s">
        <v>40</v>
      </c>
    </row>
    <row r="4" spans="1:20" ht="25.5" customHeight="1" x14ac:dyDescent="0.25">
      <c r="A4" s="59">
        <v>45088</v>
      </c>
      <c r="B4" s="15"/>
      <c r="C4" s="15" t="s">
        <v>14</v>
      </c>
      <c r="D4" s="15">
        <v>1414</v>
      </c>
      <c r="E4" s="15" t="s">
        <v>229</v>
      </c>
      <c r="F4" s="15">
        <f>SUM(G4:T4)</f>
        <v>20</v>
      </c>
      <c r="G4" s="15"/>
      <c r="H4" s="56"/>
      <c r="I4" s="15"/>
      <c r="J4" s="15"/>
      <c r="K4" s="15"/>
      <c r="L4" s="15"/>
      <c r="M4" s="15">
        <v>20</v>
      </c>
      <c r="N4" s="15"/>
      <c r="O4" s="15"/>
      <c r="P4" s="15"/>
      <c r="Q4" s="15"/>
      <c r="R4" s="15"/>
      <c r="S4" s="15"/>
      <c r="T4" s="15"/>
    </row>
    <row r="5" spans="1:20" ht="25.5" customHeight="1" x14ac:dyDescent="0.25">
      <c r="A5" s="59">
        <v>45088</v>
      </c>
      <c r="B5" s="15"/>
      <c r="C5" s="15" t="s">
        <v>15</v>
      </c>
      <c r="D5" s="15">
        <v>3513</v>
      </c>
      <c r="E5" s="15" t="s">
        <v>230</v>
      </c>
      <c r="F5" s="15">
        <f t="shared" ref="F5:F38" si="0">SUM(G5:T5)</f>
        <v>60</v>
      </c>
      <c r="G5" s="15"/>
      <c r="H5" s="56">
        <v>60</v>
      </c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</row>
    <row r="6" spans="1:20" ht="25.5" customHeight="1" x14ac:dyDescent="0.25">
      <c r="A6" s="59">
        <v>45088</v>
      </c>
      <c r="B6" s="15"/>
      <c r="C6" s="15" t="s">
        <v>16</v>
      </c>
      <c r="D6" s="15">
        <v>0</v>
      </c>
      <c r="E6" s="15" t="s">
        <v>231</v>
      </c>
      <c r="F6" s="15">
        <f t="shared" si="0"/>
        <v>15</v>
      </c>
      <c r="G6" s="15"/>
      <c r="H6" s="56"/>
      <c r="I6" s="15"/>
      <c r="J6" s="15"/>
      <c r="K6" s="15"/>
      <c r="L6" s="15"/>
      <c r="M6" s="15"/>
      <c r="N6" s="15">
        <v>15</v>
      </c>
      <c r="O6" s="15"/>
      <c r="P6" s="15"/>
      <c r="Q6" s="15"/>
      <c r="R6" s="15"/>
      <c r="S6" s="15"/>
      <c r="T6" s="15"/>
    </row>
    <row r="7" spans="1:20" ht="25.5" customHeight="1" x14ac:dyDescent="0.25">
      <c r="A7" s="59">
        <v>45088</v>
      </c>
      <c r="B7" s="15"/>
      <c r="C7" s="15" t="s">
        <v>17</v>
      </c>
      <c r="D7" s="15">
        <v>324</v>
      </c>
      <c r="E7" s="15" t="s">
        <v>139</v>
      </c>
      <c r="F7" s="15">
        <f t="shared" si="0"/>
        <v>15</v>
      </c>
      <c r="G7" s="15"/>
      <c r="H7" s="56"/>
      <c r="I7" s="15"/>
      <c r="J7" s="15"/>
      <c r="K7" s="15"/>
      <c r="L7" s="15"/>
      <c r="M7" s="15"/>
      <c r="N7" s="15"/>
      <c r="O7" s="15"/>
      <c r="P7" s="15">
        <v>15</v>
      </c>
      <c r="Q7" s="15"/>
      <c r="R7" s="15"/>
      <c r="S7" s="15"/>
      <c r="T7" s="15"/>
    </row>
    <row r="8" spans="1:20" ht="25.5" customHeight="1" x14ac:dyDescent="0.25">
      <c r="A8" s="59">
        <v>45088</v>
      </c>
      <c r="B8" s="15"/>
      <c r="C8" s="15" t="s">
        <v>18</v>
      </c>
      <c r="D8" s="15">
        <f>25+175+105+40+30+25</f>
        <v>400</v>
      </c>
      <c r="E8" s="15" t="s">
        <v>232</v>
      </c>
      <c r="F8" s="15">
        <f t="shared" si="0"/>
        <v>16</v>
      </c>
      <c r="G8" s="15"/>
      <c r="H8" s="56"/>
      <c r="I8" s="15"/>
      <c r="J8" s="15"/>
      <c r="K8" s="15"/>
      <c r="L8" s="15"/>
      <c r="M8" s="15"/>
      <c r="N8" s="15">
        <v>16</v>
      </c>
      <c r="O8" s="15"/>
      <c r="P8" s="15"/>
      <c r="Q8" s="15"/>
      <c r="R8" s="15"/>
      <c r="S8" s="15"/>
      <c r="T8" s="15"/>
    </row>
    <row r="9" spans="1:20" ht="25.5" customHeight="1" x14ac:dyDescent="0.25">
      <c r="A9" s="59">
        <v>45088</v>
      </c>
      <c r="B9" s="15"/>
      <c r="C9" s="15" t="s">
        <v>30</v>
      </c>
      <c r="D9" s="15">
        <v>0</v>
      </c>
      <c r="E9" s="15" t="s">
        <v>134</v>
      </c>
      <c r="F9" s="15">
        <f t="shared" si="0"/>
        <v>22</v>
      </c>
      <c r="G9" s="15"/>
      <c r="H9" s="56"/>
      <c r="I9" s="15"/>
      <c r="J9" s="15"/>
      <c r="K9" s="15"/>
      <c r="L9" s="15"/>
      <c r="M9" s="15"/>
      <c r="N9" s="15">
        <v>22</v>
      </c>
      <c r="O9" s="15"/>
      <c r="P9" s="15"/>
      <c r="Q9" s="15"/>
      <c r="R9" s="15"/>
      <c r="S9" s="15"/>
      <c r="T9" s="15"/>
    </row>
    <row r="10" spans="1:20" ht="25.5" customHeight="1" x14ac:dyDescent="0.25">
      <c r="A10" s="59">
        <v>45088</v>
      </c>
      <c r="B10" s="15"/>
      <c r="C10" s="15" t="s">
        <v>46</v>
      </c>
      <c r="D10" s="15">
        <v>0</v>
      </c>
      <c r="E10" s="15" t="s">
        <v>68</v>
      </c>
      <c r="F10" s="15">
        <f t="shared" si="0"/>
        <v>180</v>
      </c>
      <c r="G10" s="15"/>
      <c r="H10" s="56"/>
      <c r="I10" s="15"/>
      <c r="J10" s="15"/>
      <c r="K10" s="15"/>
      <c r="L10" s="15">
        <f>45+45+45+45</f>
        <v>180</v>
      </c>
      <c r="M10" s="15"/>
      <c r="N10" s="15"/>
      <c r="O10" s="15"/>
      <c r="P10" s="15"/>
      <c r="Q10" s="15"/>
      <c r="R10" s="15"/>
      <c r="S10" s="15"/>
      <c r="T10" s="15"/>
    </row>
    <row r="11" spans="1:20" ht="25.5" customHeight="1" x14ac:dyDescent="0.25">
      <c r="A11" s="59">
        <v>45088</v>
      </c>
      <c r="B11" s="15"/>
      <c r="C11" s="15"/>
      <c r="D11" s="15"/>
      <c r="E11" s="15" t="s">
        <v>118</v>
      </c>
      <c r="F11" s="15">
        <f t="shared" si="0"/>
        <v>170</v>
      </c>
      <c r="G11" s="15">
        <v>170</v>
      </c>
      <c r="H11" s="56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</row>
    <row r="12" spans="1:20" ht="25.5" customHeight="1" x14ac:dyDescent="0.25">
      <c r="A12" s="59">
        <v>45088</v>
      </c>
      <c r="B12" s="15"/>
      <c r="C12" s="15"/>
      <c r="D12" s="15"/>
      <c r="E12" s="15" t="s">
        <v>146</v>
      </c>
      <c r="F12" s="15">
        <f t="shared" si="0"/>
        <v>150</v>
      </c>
      <c r="G12" s="15">
        <v>150</v>
      </c>
      <c r="H12" s="56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</row>
    <row r="13" spans="1:20" ht="25.5" customHeight="1" x14ac:dyDescent="0.25">
      <c r="A13" s="59">
        <v>45088</v>
      </c>
      <c r="B13" s="15"/>
      <c r="C13" s="15"/>
      <c r="D13" s="15"/>
      <c r="E13" s="15" t="s">
        <v>79</v>
      </c>
      <c r="F13" s="15">
        <f t="shared" si="0"/>
        <v>50</v>
      </c>
      <c r="G13" s="15">
        <v>50</v>
      </c>
      <c r="H13" s="56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ht="25.5" customHeight="1" x14ac:dyDescent="0.25">
      <c r="A14" s="59">
        <v>45088</v>
      </c>
      <c r="B14" s="15"/>
      <c r="C14" s="15"/>
      <c r="D14" s="15"/>
      <c r="E14" s="15" t="s">
        <v>74</v>
      </c>
      <c r="F14" s="15">
        <f t="shared" si="0"/>
        <v>150</v>
      </c>
      <c r="G14" s="15">
        <v>150</v>
      </c>
      <c r="H14" s="56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ht="25.5" customHeight="1" x14ac:dyDescent="0.25">
      <c r="A15" s="59">
        <v>45088</v>
      </c>
      <c r="B15" s="15"/>
      <c r="C15" s="15"/>
      <c r="D15" s="15"/>
      <c r="E15" s="15" t="s">
        <v>121</v>
      </c>
      <c r="F15" s="15">
        <f t="shared" si="0"/>
        <v>160</v>
      </c>
      <c r="G15" s="15">
        <v>160</v>
      </c>
      <c r="H15" s="56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ht="25.5" customHeight="1" x14ac:dyDescent="0.25">
      <c r="A16" s="59">
        <v>45088</v>
      </c>
      <c r="B16" s="15"/>
      <c r="C16" s="15"/>
      <c r="D16" s="15"/>
      <c r="E16" s="15" t="s">
        <v>127</v>
      </c>
      <c r="F16" s="15">
        <f t="shared" si="0"/>
        <v>200</v>
      </c>
      <c r="G16" s="15">
        <v>200</v>
      </c>
      <c r="H16" s="56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</row>
    <row r="17" spans="1:20" ht="25.5" customHeight="1" x14ac:dyDescent="0.25">
      <c r="A17" s="59"/>
      <c r="B17" s="15"/>
      <c r="C17" s="15"/>
      <c r="D17" s="15"/>
      <c r="E17" s="15" t="s">
        <v>77</v>
      </c>
      <c r="F17" s="15">
        <f t="shared" si="0"/>
        <v>100</v>
      </c>
      <c r="G17" s="15">
        <v>100</v>
      </c>
      <c r="H17" s="56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</row>
    <row r="18" spans="1:20" ht="25.5" customHeight="1" x14ac:dyDescent="0.25">
      <c r="A18" s="59"/>
      <c r="B18" s="15"/>
      <c r="C18" s="15"/>
      <c r="D18" s="15"/>
      <c r="E18" s="15" t="s">
        <v>120</v>
      </c>
      <c r="F18" s="15">
        <f t="shared" si="0"/>
        <v>50</v>
      </c>
      <c r="G18" s="15">
        <v>50</v>
      </c>
      <c r="H18" s="56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ht="25.5" customHeight="1" x14ac:dyDescent="0.25">
      <c r="A19" s="59"/>
      <c r="B19" s="15"/>
      <c r="C19" s="15"/>
      <c r="D19" s="15"/>
      <c r="E19" s="15" t="s">
        <v>83</v>
      </c>
      <c r="F19" s="15">
        <f t="shared" si="0"/>
        <v>30</v>
      </c>
      <c r="G19" s="15">
        <v>30</v>
      </c>
      <c r="H19" s="56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ht="25.5" customHeight="1" x14ac:dyDescent="0.25">
      <c r="A20" s="59"/>
      <c r="B20" s="15"/>
      <c r="C20" s="15"/>
      <c r="D20" s="15"/>
      <c r="E20" s="15" t="s">
        <v>84</v>
      </c>
      <c r="F20" s="15">
        <f t="shared" si="0"/>
        <v>170</v>
      </c>
      <c r="G20" s="15">
        <v>170</v>
      </c>
      <c r="H20" s="56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ht="25.5" customHeight="1" x14ac:dyDescent="0.25">
      <c r="A21" s="59"/>
      <c r="B21" s="15"/>
      <c r="C21" s="15"/>
      <c r="D21" s="15"/>
      <c r="E21" s="15" t="s">
        <v>86</v>
      </c>
      <c r="F21" s="15">
        <f t="shared" si="0"/>
        <v>120</v>
      </c>
      <c r="G21" s="15">
        <v>120</v>
      </c>
      <c r="H21" s="56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25.5" customHeight="1" x14ac:dyDescent="0.25">
      <c r="A22" s="59"/>
      <c r="B22" s="15"/>
      <c r="C22" s="15"/>
      <c r="D22" s="15"/>
      <c r="E22" s="15" t="s">
        <v>88</v>
      </c>
      <c r="F22" s="15">
        <f t="shared" si="0"/>
        <v>150</v>
      </c>
      <c r="G22" s="15">
        <v>150</v>
      </c>
      <c r="H22" s="56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</row>
    <row r="23" spans="1:20" ht="25.5" customHeight="1" x14ac:dyDescent="0.25">
      <c r="A23" s="59"/>
      <c r="B23" s="15"/>
      <c r="C23" s="15"/>
      <c r="D23" s="15"/>
      <c r="E23" s="15" t="s">
        <v>80</v>
      </c>
      <c r="F23" s="15">
        <f t="shared" si="0"/>
        <v>50</v>
      </c>
      <c r="G23" s="15">
        <v>50</v>
      </c>
      <c r="H23" s="56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</row>
    <row r="24" spans="1:20" ht="25.5" customHeight="1" x14ac:dyDescent="0.25">
      <c r="A24" s="59"/>
      <c r="B24" s="15"/>
      <c r="C24" s="15"/>
      <c r="D24" s="15"/>
      <c r="E24" s="15"/>
      <c r="F24" s="15">
        <f t="shared" si="0"/>
        <v>0</v>
      </c>
      <c r="G24" s="15"/>
      <c r="H24" s="56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</row>
    <row r="25" spans="1:20" ht="25.5" customHeight="1" x14ac:dyDescent="0.25">
      <c r="A25" s="59"/>
      <c r="B25" s="15"/>
      <c r="C25" s="15"/>
      <c r="D25" s="15"/>
      <c r="E25" s="15"/>
      <c r="F25" s="15">
        <f t="shared" si="0"/>
        <v>0</v>
      </c>
      <c r="G25" s="15"/>
      <c r="H25" s="56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</row>
    <row r="26" spans="1:20" ht="25.5" customHeight="1" x14ac:dyDescent="0.25">
      <c r="A26" s="59"/>
      <c r="B26" s="15"/>
      <c r="C26" s="15"/>
      <c r="D26" s="15"/>
      <c r="E26" s="15"/>
      <c r="F26" s="15">
        <f t="shared" si="0"/>
        <v>0</v>
      </c>
      <c r="G26" s="15"/>
      <c r="H26" s="56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</row>
    <row r="27" spans="1:20" ht="25.5" customHeight="1" x14ac:dyDescent="0.25">
      <c r="A27" s="59"/>
      <c r="B27" s="15"/>
      <c r="C27" s="15"/>
      <c r="D27" s="15"/>
      <c r="E27" s="15"/>
      <c r="F27" s="15">
        <f t="shared" si="0"/>
        <v>0</v>
      </c>
      <c r="G27" s="15"/>
      <c r="H27" s="56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</row>
    <row r="28" spans="1:20" ht="25.5" customHeight="1" x14ac:dyDescent="0.25">
      <c r="A28" s="59"/>
      <c r="B28" s="15"/>
      <c r="C28" s="15"/>
      <c r="D28" s="15"/>
      <c r="E28" s="15"/>
      <c r="F28" s="15">
        <f t="shared" si="0"/>
        <v>0</v>
      </c>
      <c r="G28" s="15"/>
      <c r="H28" s="56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</row>
    <row r="29" spans="1:20" ht="25.5" customHeight="1" x14ac:dyDescent="0.25">
      <c r="A29" s="59"/>
      <c r="B29" s="15"/>
      <c r="C29" s="15"/>
      <c r="D29" s="15"/>
      <c r="E29" s="15"/>
      <c r="F29" s="15">
        <f t="shared" si="0"/>
        <v>0</v>
      </c>
      <c r="G29" s="15"/>
      <c r="H29" s="56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</row>
    <row r="30" spans="1:20" ht="25.5" customHeight="1" x14ac:dyDescent="0.25">
      <c r="A30" s="59"/>
      <c r="B30" s="15"/>
      <c r="C30" s="15"/>
      <c r="D30" s="15"/>
      <c r="E30" s="15"/>
      <c r="F30" s="15">
        <f t="shared" si="0"/>
        <v>0</v>
      </c>
      <c r="G30" s="15"/>
      <c r="H30" s="56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</row>
    <row r="31" spans="1:20" ht="25.5" customHeight="1" x14ac:dyDescent="0.25">
      <c r="A31" s="59"/>
      <c r="B31" s="15"/>
      <c r="C31" s="15"/>
      <c r="D31" s="15"/>
      <c r="E31" s="15"/>
      <c r="F31" s="15">
        <f t="shared" si="0"/>
        <v>0</v>
      </c>
      <c r="G31" s="15"/>
      <c r="H31" s="56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</row>
    <row r="32" spans="1:20" ht="25.5" customHeight="1" x14ac:dyDescent="0.25">
      <c r="A32" s="59"/>
      <c r="B32" s="15"/>
      <c r="C32" s="15"/>
      <c r="D32" s="15"/>
      <c r="E32" s="15"/>
      <c r="F32" s="15">
        <f t="shared" si="0"/>
        <v>0</v>
      </c>
      <c r="G32" s="15"/>
      <c r="H32" s="56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</row>
    <row r="33" spans="1:20" ht="25.5" customHeight="1" x14ac:dyDescent="0.25">
      <c r="A33" s="59"/>
      <c r="B33" s="15"/>
      <c r="C33" s="15"/>
      <c r="D33" s="15"/>
      <c r="E33" s="15"/>
      <c r="F33" s="15">
        <f t="shared" si="0"/>
        <v>0</v>
      </c>
      <c r="G33" s="15"/>
      <c r="H33" s="56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</row>
    <row r="34" spans="1:20" ht="25.5" customHeight="1" x14ac:dyDescent="0.25">
      <c r="A34" s="59"/>
      <c r="B34" s="15"/>
      <c r="C34" s="15"/>
      <c r="D34" s="15"/>
      <c r="E34" s="15"/>
      <c r="F34" s="15">
        <f t="shared" si="0"/>
        <v>0</v>
      </c>
      <c r="G34" s="15"/>
      <c r="H34" s="56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</row>
    <row r="35" spans="1:20" ht="25.5" customHeight="1" x14ac:dyDescent="0.25">
      <c r="A35" s="59"/>
      <c r="B35" s="15"/>
      <c r="C35" s="15"/>
      <c r="D35" s="15"/>
      <c r="E35" s="15"/>
      <c r="F35" s="15">
        <f t="shared" si="0"/>
        <v>0</v>
      </c>
      <c r="G35" s="15"/>
      <c r="H35" s="56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</row>
    <row r="36" spans="1:20" ht="25.5" customHeight="1" x14ac:dyDescent="0.25">
      <c r="A36" s="59"/>
      <c r="B36" s="15"/>
      <c r="C36" s="15"/>
      <c r="D36" s="15"/>
      <c r="E36" s="15"/>
      <c r="F36" s="15">
        <f t="shared" si="0"/>
        <v>0</v>
      </c>
      <c r="G36" s="15"/>
      <c r="H36" s="56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</row>
    <row r="37" spans="1:20" ht="25.5" customHeight="1" x14ac:dyDescent="0.25">
      <c r="A37" s="59"/>
      <c r="B37" s="15"/>
      <c r="C37" s="15"/>
      <c r="D37" s="15"/>
      <c r="E37" s="15"/>
      <c r="F37" s="15">
        <f t="shared" si="0"/>
        <v>0</v>
      </c>
      <c r="G37" s="15"/>
      <c r="H37" s="56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</row>
    <row r="38" spans="1:20" ht="25.5" customHeight="1" x14ac:dyDescent="0.25">
      <c r="A38" s="59"/>
      <c r="B38" s="15"/>
      <c r="C38" s="15"/>
      <c r="D38" s="15"/>
      <c r="E38" s="15"/>
      <c r="F38" s="15">
        <f t="shared" si="0"/>
        <v>0</v>
      </c>
      <c r="G38" s="15"/>
      <c r="H38" s="56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</row>
    <row r="39" spans="1:20" ht="41.25" customHeight="1" x14ac:dyDescent="0.25">
      <c r="A39" s="161" t="s">
        <v>6</v>
      </c>
      <c r="B39" s="161"/>
      <c r="C39" s="161"/>
      <c r="D39" s="15">
        <f>SUM(D4:D38)</f>
        <v>5651</v>
      </c>
      <c r="E39" s="55"/>
      <c r="F39" s="15">
        <f>SUM(F4:F38)</f>
        <v>1878</v>
      </c>
      <c r="G39" s="15">
        <f t="shared" ref="G39:T39" si="1">SUM(G4:G38)</f>
        <v>1550</v>
      </c>
      <c r="H39" s="56">
        <f t="shared" si="1"/>
        <v>60</v>
      </c>
      <c r="I39" s="15">
        <f t="shared" si="1"/>
        <v>0</v>
      </c>
      <c r="J39" s="15">
        <f t="shared" si="1"/>
        <v>0</v>
      </c>
      <c r="K39" s="15">
        <f t="shared" si="1"/>
        <v>0</v>
      </c>
      <c r="L39" s="15">
        <f t="shared" si="1"/>
        <v>180</v>
      </c>
      <c r="M39" s="15">
        <f t="shared" si="1"/>
        <v>20</v>
      </c>
      <c r="N39" s="15">
        <f t="shared" si="1"/>
        <v>53</v>
      </c>
      <c r="O39" s="15">
        <f t="shared" si="1"/>
        <v>0</v>
      </c>
      <c r="P39" s="15">
        <f t="shared" si="1"/>
        <v>15</v>
      </c>
      <c r="Q39" s="15">
        <f t="shared" si="1"/>
        <v>0</v>
      </c>
      <c r="R39" s="15">
        <f t="shared" si="1"/>
        <v>0</v>
      </c>
      <c r="S39" s="15">
        <f t="shared" si="1"/>
        <v>0</v>
      </c>
      <c r="T39" s="15">
        <f t="shared" si="1"/>
        <v>0</v>
      </c>
    </row>
    <row r="40" spans="1:20" ht="15.75" thickBot="1" x14ac:dyDescent="0.3"/>
    <row r="41" spans="1:20" ht="30.75" customHeight="1" thickTop="1" thickBot="1" x14ac:dyDescent="0.3">
      <c r="E41" s="2" t="s">
        <v>26</v>
      </c>
      <c r="F41" s="3" t="s">
        <v>27</v>
      </c>
      <c r="G41" s="4" t="s">
        <v>28</v>
      </c>
    </row>
    <row r="42" spans="1:20" ht="48.75" customHeight="1" thickTop="1" x14ac:dyDescent="0.25">
      <c r="A42" s="2" t="s">
        <v>19</v>
      </c>
      <c r="B42" s="6">
        <f>+D39</f>
        <v>5651</v>
      </c>
      <c r="C42" s="7"/>
      <c r="E42" s="5">
        <v>200</v>
      </c>
      <c r="F42" s="6">
        <v>12</v>
      </c>
      <c r="G42" s="7">
        <f>+E42*F42</f>
        <v>2400</v>
      </c>
    </row>
    <row r="43" spans="1:20" ht="46.5" customHeight="1" x14ac:dyDescent="0.25">
      <c r="A43" s="9" t="s">
        <v>20</v>
      </c>
      <c r="B43" s="6">
        <f>D8</f>
        <v>400</v>
      </c>
      <c r="C43" s="7"/>
      <c r="E43" s="5">
        <v>100</v>
      </c>
      <c r="F43" s="6">
        <v>8</v>
      </c>
      <c r="G43" s="7">
        <f t="shared" ref="G43:G45" si="2">+E43*F43</f>
        <v>800</v>
      </c>
    </row>
    <row r="44" spans="1:20" ht="46.5" customHeight="1" x14ac:dyDescent="0.25">
      <c r="A44" s="9" t="s">
        <v>21</v>
      </c>
      <c r="B44" s="6">
        <f>F39</f>
        <v>1878</v>
      </c>
      <c r="C44" s="7"/>
      <c r="E44" s="5">
        <v>50</v>
      </c>
      <c r="F44" s="6">
        <v>3</v>
      </c>
      <c r="G44" s="7">
        <f t="shared" si="2"/>
        <v>150</v>
      </c>
    </row>
    <row r="45" spans="1:20" ht="51.75" customHeight="1" x14ac:dyDescent="0.25">
      <c r="A45" s="9" t="s">
        <v>22</v>
      </c>
      <c r="B45" s="11">
        <f>+B42-B43-B44</f>
        <v>3373</v>
      </c>
      <c r="C45" s="12"/>
      <c r="E45" s="5">
        <v>20</v>
      </c>
      <c r="F45" s="6"/>
      <c r="G45" s="7">
        <f t="shared" si="2"/>
        <v>0</v>
      </c>
    </row>
    <row r="46" spans="1:20" ht="46.5" customHeight="1" x14ac:dyDescent="0.25">
      <c r="A46" s="9" t="s">
        <v>23</v>
      </c>
      <c r="B46" s="11">
        <f>G49</f>
        <v>3373</v>
      </c>
      <c r="C46" s="12"/>
      <c r="D46" s="1"/>
      <c r="E46" s="5">
        <v>10</v>
      </c>
      <c r="F46" s="6">
        <v>2</v>
      </c>
      <c r="G46" s="7">
        <f>+E46*F46</f>
        <v>20</v>
      </c>
    </row>
    <row r="47" spans="1:20" ht="34.5" customHeight="1" x14ac:dyDescent="0.25">
      <c r="A47" s="9" t="s">
        <v>24</v>
      </c>
      <c r="B47" s="11">
        <f>IF(B45&lt;B46,B46-B45,0)</f>
        <v>0</v>
      </c>
      <c r="C47" s="12"/>
      <c r="E47" s="5">
        <v>5</v>
      </c>
      <c r="F47" s="6"/>
      <c r="G47" s="7">
        <f>+E47*F47</f>
        <v>0</v>
      </c>
    </row>
    <row r="48" spans="1:20" ht="36.75" customHeight="1" x14ac:dyDescent="0.25">
      <c r="A48" s="9" t="s">
        <v>7</v>
      </c>
      <c r="B48" s="11">
        <f>IF(B45&gt;B46,B45-B46,0)</f>
        <v>0</v>
      </c>
      <c r="C48" s="12"/>
      <c r="E48" s="5">
        <v>1</v>
      </c>
      <c r="F48" s="6">
        <v>3</v>
      </c>
      <c r="G48" s="7">
        <f>+E48*F48</f>
        <v>3</v>
      </c>
    </row>
    <row r="49" spans="1:7" ht="30" customHeight="1" thickBot="1" x14ac:dyDescent="0.35">
      <c r="A49" s="10" t="s">
        <v>29</v>
      </c>
      <c r="B49" s="13" t="b">
        <f>B45=B46</f>
        <v>1</v>
      </c>
      <c r="C49" s="14"/>
      <c r="E49" s="159" t="s">
        <v>25</v>
      </c>
      <c r="F49" s="160"/>
      <c r="G49" s="8">
        <f>SUM(G42:G48)</f>
        <v>3373</v>
      </c>
    </row>
    <row r="50" spans="1:7" ht="15.75" thickTop="1" x14ac:dyDescent="0.25"/>
  </sheetData>
  <mergeCells count="3">
    <mergeCell ref="E49:F49"/>
    <mergeCell ref="E2:L2"/>
    <mergeCell ref="A39:C39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6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0"/>
  <sheetViews>
    <sheetView rightToLeft="1" topLeftCell="A42" zoomScale="70" zoomScaleNormal="70" workbookViewId="0">
      <selection activeCell="N26" sqref="N26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4.14062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4.42578125" bestFit="1" customWidth="1"/>
    <col min="16" max="16" width="15.85546875" bestFit="1" customWidth="1"/>
    <col min="18" max="18" width="15.85546875" bestFit="1" customWidth="1"/>
    <col min="19" max="19" width="14" customWidth="1"/>
    <col min="20" max="20" width="10.140625" customWidth="1"/>
  </cols>
  <sheetData>
    <row r="1" spans="1:20" ht="15.75" hidden="1" thickBot="1" x14ac:dyDescent="0.3"/>
    <row r="2" spans="1:20" ht="25.5" customHeight="1" thickBot="1" x14ac:dyDescent="0.3">
      <c r="A2" s="50" t="s">
        <v>0</v>
      </c>
      <c r="B2" s="51"/>
      <c r="C2" s="51"/>
      <c r="D2" s="52"/>
      <c r="E2" s="157">
        <f ca="1">TODAY()</f>
        <v>45118</v>
      </c>
      <c r="F2" s="158"/>
      <c r="G2" s="158"/>
      <c r="H2" s="158"/>
      <c r="I2" s="158"/>
      <c r="J2" s="158"/>
      <c r="K2" s="158"/>
      <c r="L2" s="158"/>
      <c r="M2" s="53"/>
      <c r="N2" s="53"/>
      <c r="O2" s="53"/>
      <c r="P2" s="53"/>
      <c r="Q2" s="53"/>
      <c r="R2" s="53"/>
      <c r="S2" s="53"/>
      <c r="T2" s="53"/>
    </row>
    <row r="3" spans="1:20" ht="36.75" customHeight="1" x14ac:dyDescent="0.25">
      <c r="A3" s="54" t="s">
        <v>4</v>
      </c>
      <c r="B3" s="54" t="s">
        <v>3</v>
      </c>
      <c r="C3" s="54" t="s">
        <v>1</v>
      </c>
      <c r="D3" s="54" t="s">
        <v>2</v>
      </c>
      <c r="E3" s="54" t="s">
        <v>1</v>
      </c>
      <c r="F3" s="54" t="s">
        <v>13</v>
      </c>
      <c r="G3" s="54" t="s">
        <v>5</v>
      </c>
      <c r="H3" s="57" t="s">
        <v>8</v>
      </c>
      <c r="I3" s="18" t="s">
        <v>9</v>
      </c>
      <c r="J3" s="18" t="s">
        <v>10</v>
      </c>
      <c r="K3" s="18" t="s">
        <v>11</v>
      </c>
      <c r="L3" s="18" t="s">
        <v>12</v>
      </c>
      <c r="M3" s="18" t="s">
        <v>31</v>
      </c>
      <c r="N3" s="18" t="s">
        <v>45</v>
      </c>
      <c r="O3" s="18" t="s">
        <v>32</v>
      </c>
      <c r="P3" s="18" t="s">
        <v>34</v>
      </c>
      <c r="Q3" s="18" t="s">
        <v>35</v>
      </c>
      <c r="R3" s="18" t="s">
        <v>39</v>
      </c>
      <c r="S3" s="18" t="s">
        <v>38</v>
      </c>
      <c r="T3" s="19" t="s">
        <v>40</v>
      </c>
    </row>
    <row r="4" spans="1:20" ht="25.5" customHeight="1" x14ac:dyDescent="0.25">
      <c r="A4" s="59">
        <v>45089</v>
      </c>
      <c r="B4" s="15"/>
      <c r="C4" s="15" t="s">
        <v>14</v>
      </c>
      <c r="D4" s="15">
        <f>274+578+311</f>
        <v>1163</v>
      </c>
      <c r="E4" s="15" t="s">
        <v>233</v>
      </c>
      <c r="F4" s="15">
        <f>SUM(G4:T4)</f>
        <v>60</v>
      </c>
      <c r="G4" s="15"/>
      <c r="H4" s="56">
        <v>60</v>
      </c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</row>
    <row r="5" spans="1:20" ht="25.5" customHeight="1" x14ac:dyDescent="0.25">
      <c r="A5" s="59">
        <v>45089</v>
      </c>
      <c r="B5" s="15"/>
      <c r="C5" s="15" t="s">
        <v>15</v>
      </c>
      <c r="D5" s="15">
        <f>1793+1128+485</f>
        <v>3406</v>
      </c>
      <c r="E5" s="15" t="s">
        <v>114</v>
      </c>
      <c r="F5" s="15">
        <f t="shared" ref="F5:F38" si="0">SUM(G5:T5)</f>
        <v>30</v>
      </c>
      <c r="G5" s="15"/>
      <c r="H5" s="56"/>
      <c r="I5" s="15"/>
      <c r="J5" s="15"/>
      <c r="K5" s="15"/>
      <c r="L5" s="15"/>
      <c r="M5" s="15"/>
      <c r="N5" s="15"/>
      <c r="O5" s="15"/>
      <c r="P5" s="15">
        <f>5+25</f>
        <v>30</v>
      </c>
      <c r="Q5" s="15"/>
      <c r="R5" s="15"/>
      <c r="S5" s="15"/>
      <c r="T5" s="15"/>
    </row>
    <row r="6" spans="1:20" ht="25.5" customHeight="1" x14ac:dyDescent="0.25">
      <c r="A6" s="59">
        <v>45089</v>
      </c>
      <c r="B6" s="15"/>
      <c r="C6" s="15" t="s">
        <v>16</v>
      </c>
      <c r="D6" s="15">
        <v>0</v>
      </c>
      <c r="E6" s="15" t="s">
        <v>68</v>
      </c>
      <c r="F6" s="15">
        <f t="shared" si="0"/>
        <v>180</v>
      </c>
      <c r="G6" s="15"/>
      <c r="H6" s="56"/>
      <c r="I6" s="15"/>
      <c r="J6" s="15"/>
      <c r="K6" s="15"/>
      <c r="L6" s="15">
        <f>90+45+45</f>
        <v>180</v>
      </c>
      <c r="M6" s="15"/>
      <c r="N6" s="15"/>
      <c r="O6" s="15"/>
      <c r="P6" s="15"/>
      <c r="Q6" s="15"/>
      <c r="R6" s="15"/>
      <c r="S6" s="15"/>
      <c r="T6" s="15"/>
    </row>
    <row r="7" spans="1:20" ht="25.5" customHeight="1" x14ac:dyDescent="0.25">
      <c r="A7" s="59">
        <v>45089</v>
      </c>
      <c r="B7" s="15"/>
      <c r="C7" s="15" t="s">
        <v>17</v>
      </c>
      <c r="D7" s="15">
        <f>408+40+0</f>
        <v>448</v>
      </c>
      <c r="E7" s="15" t="s">
        <v>66</v>
      </c>
      <c r="F7" s="15">
        <f t="shared" si="0"/>
        <v>200</v>
      </c>
      <c r="G7" s="15"/>
      <c r="H7" s="56"/>
      <c r="I7" s="15"/>
      <c r="J7" s="15"/>
      <c r="K7" s="15"/>
      <c r="L7" s="15"/>
      <c r="M7" s="15"/>
      <c r="N7" s="15"/>
      <c r="O7" s="15"/>
      <c r="P7" s="15"/>
      <c r="Q7" s="15"/>
      <c r="R7" s="15">
        <v>200</v>
      </c>
      <c r="S7" s="15"/>
      <c r="T7" s="15"/>
    </row>
    <row r="8" spans="1:20" ht="25.5" customHeight="1" x14ac:dyDescent="0.25">
      <c r="A8" s="59">
        <v>45089</v>
      </c>
      <c r="B8" s="15"/>
      <c r="C8" s="15" t="s">
        <v>18</v>
      </c>
      <c r="D8" s="15">
        <f>3000+25+55+90+49</f>
        <v>3219</v>
      </c>
      <c r="E8" s="15" t="s">
        <v>229</v>
      </c>
      <c r="F8" s="15">
        <f t="shared" si="0"/>
        <v>50</v>
      </c>
      <c r="G8" s="15"/>
      <c r="H8" s="56"/>
      <c r="I8" s="15"/>
      <c r="J8" s="15"/>
      <c r="K8" s="15"/>
      <c r="L8" s="15"/>
      <c r="M8" s="15">
        <v>50</v>
      </c>
      <c r="N8" s="15"/>
      <c r="O8" s="15"/>
      <c r="P8" s="15"/>
      <c r="Q8" s="15"/>
      <c r="R8" s="15"/>
      <c r="S8" s="15"/>
      <c r="T8" s="15"/>
    </row>
    <row r="9" spans="1:20" ht="25.5" customHeight="1" x14ac:dyDescent="0.25">
      <c r="A9" s="59">
        <v>45089</v>
      </c>
      <c r="B9" s="15"/>
      <c r="C9" s="15" t="s">
        <v>30</v>
      </c>
      <c r="D9" s="15">
        <v>0</v>
      </c>
      <c r="E9" s="15" t="s">
        <v>234</v>
      </c>
      <c r="F9" s="15">
        <f t="shared" si="0"/>
        <v>35</v>
      </c>
      <c r="G9" s="15"/>
      <c r="H9" s="56"/>
      <c r="I9" s="15"/>
      <c r="J9" s="15"/>
      <c r="K9" s="15"/>
      <c r="L9" s="15"/>
      <c r="M9" s="15"/>
      <c r="N9" s="15">
        <v>35</v>
      </c>
      <c r="O9" s="15"/>
      <c r="P9" s="15"/>
      <c r="Q9" s="15"/>
      <c r="R9" s="15"/>
      <c r="S9" s="15"/>
      <c r="T9" s="15"/>
    </row>
    <row r="10" spans="1:20" ht="25.5" customHeight="1" x14ac:dyDescent="0.25">
      <c r="A10" s="59">
        <v>45089</v>
      </c>
      <c r="B10" s="15"/>
      <c r="C10" s="15" t="s">
        <v>46</v>
      </c>
      <c r="D10" s="15">
        <v>0</v>
      </c>
      <c r="E10" s="15" t="s">
        <v>190</v>
      </c>
      <c r="F10" s="15">
        <f t="shared" si="0"/>
        <v>110</v>
      </c>
      <c r="G10" s="15"/>
      <c r="H10" s="56"/>
      <c r="I10" s="15"/>
      <c r="J10" s="15"/>
      <c r="K10" s="15"/>
      <c r="L10" s="15">
        <v>110</v>
      </c>
      <c r="M10" s="15"/>
      <c r="N10" s="15"/>
      <c r="O10" s="15"/>
      <c r="P10" s="15"/>
      <c r="Q10" s="15"/>
      <c r="R10" s="15"/>
      <c r="S10" s="15"/>
      <c r="T10" s="15"/>
    </row>
    <row r="11" spans="1:20" ht="25.5" customHeight="1" x14ac:dyDescent="0.25">
      <c r="A11" s="59">
        <v>45089</v>
      </c>
      <c r="B11" s="15"/>
      <c r="C11" s="15"/>
      <c r="D11" s="15"/>
      <c r="E11" s="15" t="s">
        <v>235</v>
      </c>
      <c r="F11" s="15">
        <f t="shared" si="0"/>
        <v>740</v>
      </c>
      <c r="G11" s="15"/>
      <c r="H11" s="56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>
        <v>740</v>
      </c>
    </row>
    <row r="12" spans="1:20" ht="25.5" customHeight="1" x14ac:dyDescent="0.25">
      <c r="A12" s="59">
        <v>45089</v>
      </c>
      <c r="B12" s="15"/>
      <c r="C12" s="15"/>
      <c r="D12" s="15"/>
      <c r="E12" s="15" t="s">
        <v>236</v>
      </c>
      <c r="F12" s="15">
        <f t="shared" si="0"/>
        <v>100</v>
      </c>
      <c r="G12" s="15"/>
      <c r="H12" s="56"/>
      <c r="I12" s="15"/>
      <c r="J12" s="15"/>
      <c r="K12" s="15"/>
      <c r="L12" s="15"/>
      <c r="M12" s="15"/>
      <c r="N12" s="15">
        <f>35+65</f>
        <v>100</v>
      </c>
      <c r="O12" s="15"/>
      <c r="P12" s="15"/>
      <c r="Q12" s="15"/>
      <c r="R12" s="15"/>
      <c r="S12" s="15"/>
      <c r="T12" s="15"/>
    </row>
    <row r="13" spans="1:20" ht="25.5" customHeight="1" x14ac:dyDescent="0.25">
      <c r="A13" s="59">
        <v>45089</v>
      </c>
      <c r="B13" s="15"/>
      <c r="C13" s="15"/>
      <c r="D13" s="15"/>
      <c r="E13" s="15" t="s">
        <v>73</v>
      </c>
      <c r="F13" s="15">
        <f t="shared" si="0"/>
        <v>170</v>
      </c>
      <c r="G13" s="15">
        <v>170</v>
      </c>
      <c r="H13" s="56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ht="25.5" customHeight="1" x14ac:dyDescent="0.25">
      <c r="A14" s="59">
        <v>45089</v>
      </c>
      <c r="B14" s="15"/>
      <c r="C14" s="15"/>
      <c r="D14" s="15"/>
      <c r="E14" s="15" t="s">
        <v>74</v>
      </c>
      <c r="F14" s="15">
        <f t="shared" si="0"/>
        <v>150</v>
      </c>
      <c r="G14" s="15">
        <v>150</v>
      </c>
      <c r="H14" s="56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ht="25.5" customHeight="1" x14ac:dyDescent="0.25">
      <c r="A15" s="59">
        <v>45089</v>
      </c>
      <c r="B15" s="15"/>
      <c r="C15" s="15"/>
      <c r="D15" s="15"/>
      <c r="E15" s="15" t="s">
        <v>146</v>
      </c>
      <c r="F15" s="15">
        <f t="shared" si="0"/>
        <v>150</v>
      </c>
      <c r="G15" s="15">
        <v>150</v>
      </c>
      <c r="H15" s="56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ht="25.5" customHeight="1" x14ac:dyDescent="0.25">
      <c r="A16" s="59"/>
      <c r="B16" s="15"/>
      <c r="C16" s="15"/>
      <c r="D16" s="15"/>
      <c r="E16" s="15" t="s">
        <v>117</v>
      </c>
      <c r="F16" s="15">
        <f t="shared" si="0"/>
        <v>150</v>
      </c>
      <c r="G16" s="15">
        <v>150</v>
      </c>
      <c r="H16" s="56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</row>
    <row r="17" spans="1:20" ht="25.5" customHeight="1" x14ac:dyDescent="0.25">
      <c r="A17" s="59"/>
      <c r="B17" s="15"/>
      <c r="C17" s="15"/>
      <c r="D17" s="15"/>
      <c r="E17" s="15" t="s">
        <v>127</v>
      </c>
      <c r="F17" s="15">
        <f t="shared" si="0"/>
        <v>200</v>
      </c>
      <c r="G17" s="15">
        <v>200</v>
      </c>
      <c r="H17" s="56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</row>
    <row r="18" spans="1:20" ht="25.5" customHeight="1" x14ac:dyDescent="0.25">
      <c r="A18" s="59"/>
      <c r="B18" s="15"/>
      <c r="C18" s="15"/>
      <c r="D18" s="15"/>
      <c r="E18" s="15" t="s">
        <v>77</v>
      </c>
      <c r="F18" s="15">
        <f t="shared" si="0"/>
        <v>100</v>
      </c>
      <c r="G18" s="15">
        <v>100</v>
      </c>
      <c r="H18" s="56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ht="25.5" customHeight="1" x14ac:dyDescent="0.25">
      <c r="A19" s="59"/>
      <c r="B19" s="15"/>
      <c r="C19" s="15"/>
      <c r="D19" s="15"/>
      <c r="E19" s="15" t="s">
        <v>120</v>
      </c>
      <c r="F19" s="15">
        <f t="shared" si="0"/>
        <v>50</v>
      </c>
      <c r="G19" s="15">
        <v>50</v>
      </c>
      <c r="H19" s="56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ht="25.5" customHeight="1" x14ac:dyDescent="0.25">
      <c r="A20" s="59"/>
      <c r="B20" s="15"/>
      <c r="C20" s="15"/>
      <c r="D20" s="15"/>
      <c r="E20" s="15" t="s">
        <v>84</v>
      </c>
      <c r="F20" s="15">
        <f t="shared" si="0"/>
        <v>170</v>
      </c>
      <c r="G20" s="15">
        <v>170</v>
      </c>
      <c r="H20" s="56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ht="25.5" customHeight="1" x14ac:dyDescent="0.25">
      <c r="A21" s="59"/>
      <c r="B21" s="15"/>
      <c r="C21" s="15"/>
      <c r="D21" s="15"/>
      <c r="E21" s="15" t="s">
        <v>88</v>
      </c>
      <c r="F21" s="15">
        <f t="shared" si="0"/>
        <v>150</v>
      </c>
      <c r="G21" s="15">
        <v>150</v>
      </c>
      <c r="H21" s="56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25.5" customHeight="1" x14ac:dyDescent="0.25">
      <c r="A22" s="59"/>
      <c r="B22" s="15"/>
      <c r="C22" s="15"/>
      <c r="D22" s="15"/>
      <c r="E22" s="15" t="s">
        <v>85</v>
      </c>
      <c r="F22" s="15">
        <f t="shared" si="0"/>
        <v>100</v>
      </c>
      <c r="G22" s="15">
        <v>100</v>
      </c>
      <c r="H22" s="56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</row>
    <row r="23" spans="1:20" ht="25.5" customHeight="1" x14ac:dyDescent="0.25">
      <c r="A23" s="59"/>
      <c r="B23" s="15"/>
      <c r="C23" s="15"/>
      <c r="D23" s="15"/>
      <c r="E23" s="15" t="s">
        <v>237</v>
      </c>
      <c r="F23" s="15">
        <f t="shared" si="0"/>
        <v>120</v>
      </c>
      <c r="G23" s="15">
        <v>120</v>
      </c>
      <c r="H23" s="56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</row>
    <row r="24" spans="1:20" ht="25.5" customHeight="1" x14ac:dyDescent="0.25">
      <c r="A24" s="59"/>
      <c r="B24" s="15"/>
      <c r="C24" s="15"/>
      <c r="D24" s="15"/>
      <c r="E24" s="15" t="s">
        <v>80</v>
      </c>
      <c r="F24" s="15">
        <f t="shared" si="0"/>
        <v>50</v>
      </c>
      <c r="G24" s="15">
        <v>50</v>
      </c>
      <c r="H24" s="56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</row>
    <row r="25" spans="1:20" ht="25.5" customHeight="1" x14ac:dyDescent="0.25">
      <c r="A25" s="59"/>
      <c r="B25" s="15"/>
      <c r="C25" s="15"/>
      <c r="D25" s="15"/>
      <c r="E25" s="15" t="s">
        <v>258</v>
      </c>
      <c r="F25" s="15">
        <f t="shared" si="0"/>
        <v>45</v>
      </c>
      <c r="G25" s="15"/>
      <c r="H25" s="56"/>
      <c r="I25" s="15"/>
      <c r="J25" s="15"/>
      <c r="K25" s="15"/>
      <c r="L25" s="15"/>
      <c r="M25" s="15"/>
      <c r="N25" s="15">
        <v>45</v>
      </c>
      <c r="O25" s="15"/>
      <c r="P25" s="15"/>
      <c r="Q25" s="15"/>
      <c r="R25" s="15"/>
      <c r="S25" s="15"/>
      <c r="T25" s="15"/>
    </row>
    <row r="26" spans="1:20" ht="25.5" customHeight="1" x14ac:dyDescent="0.25">
      <c r="A26" s="59"/>
      <c r="B26" s="15"/>
      <c r="C26" s="15"/>
      <c r="D26" s="15"/>
      <c r="E26" s="15"/>
      <c r="F26" s="15">
        <f t="shared" si="0"/>
        <v>0</v>
      </c>
      <c r="G26" s="15"/>
      <c r="H26" s="56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</row>
    <row r="27" spans="1:20" ht="25.5" customHeight="1" x14ac:dyDescent="0.25">
      <c r="A27" s="59"/>
      <c r="B27" s="15"/>
      <c r="C27" s="15"/>
      <c r="D27" s="15"/>
      <c r="E27" s="15"/>
      <c r="F27" s="15">
        <f t="shared" si="0"/>
        <v>0</v>
      </c>
      <c r="G27" s="15"/>
      <c r="H27" s="56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</row>
    <row r="28" spans="1:20" ht="25.5" customHeight="1" x14ac:dyDescent="0.25">
      <c r="A28" s="59"/>
      <c r="B28" s="15"/>
      <c r="C28" s="15"/>
      <c r="D28" s="15"/>
      <c r="E28" s="15"/>
      <c r="F28" s="15">
        <f t="shared" si="0"/>
        <v>0</v>
      </c>
      <c r="G28" s="15"/>
      <c r="H28" s="56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</row>
    <row r="29" spans="1:20" ht="25.5" customHeight="1" x14ac:dyDescent="0.25">
      <c r="A29" s="59"/>
      <c r="B29" s="15"/>
      <c r="C29" s="15"/>
      <c r="D29" s="15"/>
      <c r="E29" s="15"/>
      <c r="F29" s="15">
        <f t="shared" si="0"/>
        <v>0</v>
      </c>
      <c r="G29" s="15"/>
      <c r="H29" s="56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</row>
    <row r="30" spans="1:20" ht="25.5" customHeight="1" x14ac:dyDescent="0.25">
      <c r="A30" s="59"/>
      <c r="B30" s="15"/>
      <c r="C30" s="15"/>
      <c r="D30" s="15"/>
      <c r="E30" s="15"/>
      <c r="F30" s="15">
        <f t="shared" si="0"/>
        <v>0</v>
      </c>
      <c r="G30" s="15"/>
      <c r="H30" s="56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</row>
    <row r="31" spans="1:20" ht="25.5" customHeight="1" x14ac:dyDescent="0.25">
      <c r="A31" s="59"/>
      <c r="B31" s="15"/>
      <c r="C31" s="15"/>
      <c r="D31" s="15"/>
      <c r="E31" s="15"/>
      <c r="F31" s="15">
        <f t="shared" si="0"/>
        <v>0</v>
      </c>
      <c r="G31" s="15"/>
      <c r="H31" s="56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</row>
    <row r="32" spans="1:20" ht="25.5" customHeight="1" x14ac:dyDescent="0.25">
      <c r="A32" s="59"/>
      <c r="B32" s="15"/>
      <c r="C32" s="15"/>
      <c r="D32" s="15"/>
      <c r="E32" s="15"/>
      <c r="F32" s="15">
        <f t="shared" si="0"/>
        <v>0</v>
      </c>
      <c r="G32" s="15"/>
      <c r="H32" s="56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</row>
    <row r="33" spans="1:20" ht="25.5" customHeight="1" x14ac:dyDescent="0.25">
      <c r="A33" s="59"/>
      <c r="B33" s="15"/>
      <c r="C33" s="15"/>
      <c r="D33" s="15"/>
      <c r="E33" s="15"/>
      <c r="F33" s="15">
        <f t="shared" si="0"/>
        <v>0</v>
      </c>
      <c r="G33" s="15"/>
      <c r="H33" s="56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</row>
    <row r="34" spans="1:20" ht="25.5" customHeight="1" x14ac:dyDescent="0.25">
      <c r="A34" s="59"/>
      <c r="B34" s="15"/>
      <c r="C34" s="15"/>
      <c r="D34" s="15"/>
      <c r="E34" s="15"/>
      <c r="F34" s="15">
        <f t="shared" si="0"/>
        <v>0</v>
      </c>
      <c r="G34" s="15"/>
      <c r="H34" s="56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</row>
    <row r="35" spans="1:20" ht="25.5" customHeight="1" x14ac:dyDescent="0.25">
      <c r="A35" s="59"/>
      <c r="B35" s="15"/>
      <c r="C35" s="15"/>
      <c r="D35" s="15"/>
      <c r="E35" s="15"/>
      <c r="F35" s="15">
        <f t="shared" si="0"/>
        <v>0</v>
      </c>
      <c r="G35" s="15"/>
      <c r="H35" s="56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</row>
    <row r="36" spans="1:20" ht="25.5" customHeight="1" x14ac:dyDescent="0.25">
      <c r="A36" s="59"/>
      <c r="B36" s="15"/>
      <c r="C36" s="15"/>
      <c r="D36" s="15"/>
      <c r="E36" s="15"/>
      <c r="F36" s="15">
        <f t="shared" si="0"/>
        <v>0</v>
      </c>
      <c r="G36" s="15"/>
      <c r="H36" s="56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</row>
    <row r="37" spans="1:20" ht="25.5" customHeight="1" x14ac:dyDescent="0.25">
      <c r="A37" s="59"/>
      <c r="B37" s="15"/>
      <c r="C37" s="15"/>
      <c r="D37" s="15"/>
      <c r="E37" s="15"/>
      <c r="F37" s="15">
        <f t="shared" si="0"/>
        <v>0</v>
      </c>
      <c r="G37" s="15"/>
      <c r="H37" s="56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</row>
    <row r="38" spans="1:20" ht="25.5" customHeight="1" x14ac:dyDescent="0.25">
      <c r="A38" s="59"/>
      <c r="B38" s="15"/>
      <c r="C38" s="15"/>
      <c r="D38" s="15"/>
      <c r="E38" s="15"/>
      <c r="F38" s="15">
        <f t="shared" si="0"/>
        <v>0</v>
      </c>
      <c r="G38" s="15"/>
      <c r="H38" s="56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</row>
    <row r="39" spans="1:20" ht="41.25" customHeight="1" x14ac:dyDescent="0.25">
      <c r="A39" s="161" t="s">
        <v>6</v>
      </c>
      <c r="B39" s="161"/>
      <c r="C39" s="161"/>
      <c r="D39" s="15">
        <f>SUM(D4:D38)</f>
        <v>8236</v>
      </c>
      <c r="E39" s="55"/>
      <c r="F39" s="15">
        <f>SUM(F4:F38)</f>
        <v>3110</v>
      </c>
      <c r="G39" s="15">
        <f t="shared" ref="G39:T39" si="1">SUM(G4:G38)</f>
        <v>1560</v>
      </c>
      <c r="H39" s="56">
        <f t="shared" si="1"/>
        <v>60</v>
      </c>
      <c r="I39" s="15">
        <f t="shared" si="1"/>
        <v>0</v>
      </c>
      <c r="J39" s="15">
        <f t="shared" si="1"/>
        <v>0</v>
      </c>
      <c r="K39" s="15">
        <f t="shared" si="1"/>
        <v>0</v>
      </c>
      <c r="L39" s="15">
        <f t="shared" si="1"/>
        <v>290</v>
      </c>
      <c r="M39" s="15">
        <f t="shared" si="1"/>
        <v>50</v>
      </c>
      <c r="N39" s="15">
        <f t="shared" si="1"/>
        <v>180</v>
      </c>
      <c r="O39" s="15">
        <f t="shared" si="1"/>
        <v>0</v>
      </c>
      <c r="P39" s="15">
        <f t="shared" si="1"/>
        <v>30</v>
      </c>
      <c r="Q39" s="15">
        <f t="shared" si="1"/>
        <v>0</v>
      </c>
      <c r="R39" s="15">
        <f t="shared" si="1"/>
        <v>200</v>
      </c>
      <c r="S39" s="15">
        <f t="shared" si="1"/>
        <v>0</v>
      </c>
      <c r="T39" s="15">
        <f t="shared" si="1"/>
        <v>740</v>
      </c>
    </row>
    <row r="40" spans="1:20" ht="15.75" thickBot="1" x14ac:dyDescent="0.3"/>
    <row r="41" spans="1:20" ht="30.75" customHeight="1" thickTop="1" thickBot="1" x14ac:dyDescent="0.3">
      <c r="E41" s="2" t="s">
        <v>26</v>
      </c>
      <c r="F41" s="3" t="s">
        <v>27</v>
      </c>
      <c r="G41" s="4" t="s">
        <v>28</v>
      </c>
    </row>
    <row r="42" spans="1:20" ht="48.75" customHeight="1" thickTop="1" x14ac:dyDescent="0.25">
      <c r="A42" s="2" t="s">
        <v>19</v>
      </c>
      <c r="B42" s="6">
        <f>+D39</f>
        <v>8236</v>
      </c>
      <c r="C42" s="7"/>
      <c r="E42" s="5">
        <v>200</v>
      </c>
      <c r="F42" s="6">
        <v>2</v>
      </c>
      <c r="G42" s="7">
        <f>+E42*F42</f>
        <v>400</v>
      </c>
    </row>
    <row r="43" spans="1:20" ht="46.5" customHeight="1" x14ac:dyDescent="0.25">
      <c r="A43" s="9" t="s">
        <v>20</v>
      </c>
      <c r="B43" s="6">
        <f>D8</f>
        <v>3219</v>
      </c>
      <c r="C43" s="7"/>
      <c r="E43" s="5">
        <v>100</v>
      </c>
      <c r="F43" s="6">
        <v>7</v>
      </c>
      <c r="G43" s="7">
        <f t="shared" ref="G43:G45" si="2">+E43*F43</f>
        <v>700</v>
      </c>
    </row>
    <row r="44" spans="1:20" ht="46.5" customHeight="1" x14ac:dyDescent="0.25">
      <c r="A44" s="9" t="s">
        <v>21</v>
      </c>
      <c r="B44" s="6">
        <f>F39</f>
        <v>3110</v>
      </c>
      <c r="C44" s="7"/>
      <c r="E44" s="5">
        <v>50</v>
      </c>
      <c r="F44" s="6">
        <v>7</v>
      </c>
      <c r="G44" s="7">
        <f t="shared" si="2"/>
        <v>350</v>
      </c>
    </row>
    <row r="45" spans="1:20" ht="51.75" customHeight="1" x14ac:dyDescent="0.25">
      <c r="A45" s="9" t="s">
        <v>22</v>
      </c>
      <c r="B45" s="11">
        <f>+B42-B43-B44</f>
        <v>1907</v>
      </c>
      <c r="C45" s="12"/>
      <c r="E45" s="5">
        <v>20</v>
      </c>
      <c r="F45" s="6">
        <v>4</v>
      </c>
      <c r="G45" s="7">
        <f t="shared" si="2"/>
        <v>80</v>
      </c>
    </row>
    <row r="46" spans="1:20" ht="46.5" customHeight="1" x14ac:dyDescent="0.25">
      <c r="A46" s="9" t="s">
        <v>23</v>
      </c>
      <c r="B46" s="11">
        <f>G49</f>
        <v>1557</v>
      </c>
      <c r="C46" s="12"/>
      <c r="D46" s="1"/>
      <c r="E46" s="5">
        <v>10</v>
      </c>
      <c r="F46" s="6">
        <v>2</v>
      </c>
      <c r="G46" s="7">
        <f>+E46*F46</f>
        <v>20</v>
      </c>
    </row>
    <row r="47" spans="1:20" ht="34.5" customHeight="1" x14ac:dyDescent="0.25">
      <c r="A47" s="9" t="s">
        <v>24</v>
      </c>
      <c r="B47" s="11">
        <f>IF(B45&lt;B46,B46-B45,0)</f>
        <v>0</v>
      </c>
      <c r="C47" s="12"/>
      <c r="E47" s="5">
        <v>5</v>
      </c>
      <c r="F47" s="6">
        <v>1</v>
      </c>
      <c r="G47" s="7">
        <f>+E47*F47</f>
        <v>5</v>
      </c>
    </row>
    <row r="48" spans="1:20" ht="36.75" customHeight="1" x14ac:dyDescent="0.25">
      <c r="A48" s="9" t="s">
        <v>7</v>
      </c>
      <c r="B48" s="11">
        <f>IF(B45&gt;B46,B45-B46,0)</f>
        <v>350</v>
      </c>
      <c r="C48" s="12"/>
      <c r="E48" s="5">
        <v>1</v>
      </c>
      <c r="F48" s="6">
        <v>2</v>
      </c>
      <c r="G48" s="7">
        <f>+E48*F48</f>
        <v>2</v>
      </c>
    </row>
    <row r="49" spans="1:7" ht="30" customHeight="1" thickBot="1" x14ac:dyDescent="0.35">
      <c r="A49" s="10" t="s">
        <v>29</v>
      </c>
      <c r="B49" s="13" t="b">
        <f>B45=B46</f>
        <v>0</v>
      </c>
      <c r="C49" s="14"/>
      <c r="E49" s="159" t="s">
        <v>25</v>
      </c>
      <c r="F49" s="160"/>
      <c r="G49" s="8">
        <f>SUM(G42:G48)</f>
        <v>1557</v>
      </c>
    </row>
    <row r="50" spans="1:7" ht="15.75" thickTop="1" x14ac:dyDescent="0.25"/>
  </sheetData>
  <mergeCells count="3">
    <mergeCell ref="E49:F49"/>
    <mergeCell ref="E2:L2"/>
    <mergeCell ref="A39:C39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6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0"/>
  <sheetViews>
    <sheetView rightToLeft="1" topLeftCell="A38" zoomScale="66" zoomScaleNormal="66" workbookViewId="0">
      <selection activeCell="D8" sqref="D8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4.14062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8.85546875" bestFit="1" customWidth="1"/>
    <col min="16" max="16" width="18.42578125" bestFit="1" customWidth="1"/>
    <col min="17" max="17" width="10.28515625" bestFit="1" customWidth="1"/>
    <col min="18" max="18" width="18.5703125" bestFit="1" customWidth="1"/>
    <col min="19" max="19" width="14" customWidth="1"/>
    <col min="20" max="20" width="11.85546875" bestFit="1" customWidth="1"/>
  </cols>
  <sheetData>
    <row r="1" spans="1:20" ht="15.75" hidden="1" thickBot="1" x14ac:dyDescent="0.3"/>
    <row r="2" spans="1:20" ht="25.5" customHeight="1" thickBot="1" x14ac:dyDescent="0.35">
      <c r="A2" s="92" t="s">
        <v>0</v>
      </c>
      <c r="B2" s="93"/>
      <c r="C2" s="93"/>
      <c r="D2" s="94"/>
      <c r="E2" s="168">
        <f ca="1">TODAY()</f>
        <v>45118</v>
      </c>
      <c r="F2" s="169"/>
      <c r="G2" s="169"/>
      <c r="H2" s="169"/>
      <c r="I2" s="169"/>
      <c r="J2" s="169"/>
      <c r="K2" s="169"/>
      <c r="L2" s="169"/>
      <c r="M2" s="63"/>
      <c r="N2" s="63"/>
      <c r="O2" s="63"/>
      <c r="P2" s="63"/>
      <c r="Q2" s="63"/>
      <c r="R2" s="63"/>
      <c r="S2" s="63"/>
      <c r="T2" s="63"/>
    </row>
    <row r="3" spans="1:20" ht="36.75" customHeight="1" x14ac:dyDescent="0.25">
      <c r="A3" s="62" t="s">
        <v>4</v>
      </c>
      <c r="B3" s="62" t="s">
        <v>3</v>
      </c>
      <c r="C3" s="62" t="s">
        <v>1</v>
      </c>
      <c r="D3" s="62" t="s">
        <v>2</v>
      </c>
      <c r="E3" s="62" t="s">
        <v>1</v>
      </c>
      <c r="F3" s="62" t="s">
        <v>13</v>
      </c>
      <c r="G3" s="62" t="s">
        <v>5</v>
      </c>
      <c r="H3" s="95" t="s">
        <v>8</v>
      </c>
      <c r="I3" s="96" t="s">
        <v>9</v>
      </c>
      <c r="J3" s="96" t="s">
        <v>10</v>
      </c>
      <c r="K3" s="96" t="s">
        <v>11</v>
      </c>
      <c r="L3" s="96" t="s">
        <v>12</v>
      </c>
      <c r="M3" s="96" t="s">
        <v>31</v>
      </c>
      <c r="N3" s="96" t="s">
        <v>45</v>
      </c>
      <c r="O3" s="96" t="s">
        <v>32</v>
      </c>
      <c r="P3" s="96" t="s">
        <v>34</v>
      </c>
      <c r="Q3" s="96" t="s">
        <v>35</v>
      </c>
      <c r="R3" s="96" t="s">
        <v>39</v>
      </c>
      <c r="S3" s="96" t="s">
        <v>38</v>
      </c>
      <c r="T3" s="97" t="s">
        <v>40</v>
      </c>
    </row>
    <row r="4" spans="1:20" ht="25.5" customHeight="1" x14ac:dyDescent="0.25">
      <c r="A4" s="74">
        <v>45090</v>
      </c>
      <c r="B4" s="6"/>
      <c r="C4" s="6" t="s">
        <v>14</v>
      </c>
      <c r="D4" s="6">
        <f>803+607</f>
        <v>1410</v>
      </c>
      <c r="E4" s="6" t="s">
        <v>112</v>
      </c>
      <c r="F4" s="6">
        <f>SUM(G4:T4)</f>
        <v>400</v>
      </c>
      <c r="G4" s="6"/>
      <c r="H4" s="98"/>
      <c r="I4" s="6"/>
      <c r="J4" s="6"/>
      <c r="K4" s="6"/>
      <c r="L4" s="6"/>
      <c r="M4" s="6"/>
      <c r="N4" s="6"/>
      <c r="O4" s="6"/>
      <c r="P4" s="6"/>
      <c r="Q4" s="6"/>
      <c r="R4" s="6">
        <v>400</v>
      </c>
      <c r="S4" s="6"/>
      <c r="T4" s="6"/>
    </row>
    <row r="5" spans="1:20" ht="25.5" customHeight="1" x14ac:dyDescent="0.25">
      <c r="A5" s="74">
        <v>45090</v>
      </c>
      <c r="B5" s="6"/>
      <c r="C5" s="6" t="s">
        <v>15</v>
      </c>
      <c r="D5" s="6">
        <f>1222+1208</f>
        <v>2430</v>
      </c>
      <c r="E5" s="6" t="s">
        <v>238</v>
      </c>
      <c r="F5" s="6">
        <f t="shared" ref="F5:F38" si="0">SUM(G5:T5)</f>
        <v>65</v>
      </c>
      <c r="G5" s="6"/>
      <c r="H5" s="98">
        <v>65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</row>
    <row r="6" spans="1:20" ht="25.5" customHeight="1" x14ac:dyDescent="0.25">
      <c r="A6" s="74">
        <v>45090</v>
      </c>
      <c r="B6" s="6"/>
      <c r="C6" s="6" t="s">
        <v>16</v>
      </c>
      <c r="D6" s="6">
        <v>0</v>
      </c>
      <c r="E6" s="6" t="s">
        <v>68</v>
      </c>
      <c r="F6" s="6">
        <f t="shared" si="0"/>
        <v>135</v>
      </c>
      <c r="G6" s="6"/>
      <c r="H6" s="98"/>
      <c r="I6" s="6"/>
      <c r="J6" s="6"/>
      <c r="K6" s="6"/>
      <c r="L6" s="6">
        <f>90+45</f>
        <v>135</v>
      </c>
      <c r="M6" s="6"/>
      <c r="N6" s="6"/>
      <c r="O6" s="6"/>
      <c r="P6" s="6"/>
      <c r="Q6" s="6"/>
      <c r="R6" s="6"/>
      <c r="S6" s="6"/>
      <c r="T6" s="6"/>
    </row>
    <row r="7" spans="1:20" ht="25.5" customHeight="1" x14ac:dyDescent="0.25">
      <c r="A7" s="74">
        <v>45090</v>
      </c>
      <c r="B7" s="6"/>
      <c r="C7" s="6" t="s">
        <v>17</v>
      </c>
      <c r="D7" s="6">
        <f>75+259</f>
        <v>334</v>
      </c>
      <c r="E7" s="6" t="s">
        <v>142</v>
      </c>
      <c r="F7" s="6">
        <f t="shared" si="0"/>
        <v>40</v>
      </c>
      <c r="G7" s="6"/>
      <c r="H7" s="98"/>
      <c r="I7" s="6"/>
      <c r="J7" s="6"/>
      <c r="K7" s="6"/>
      <c r="L7" s="6"/>
      <c r="M7" s="6"/>
      <c r="N7" s="6"/>
      <c r="O7" s="6"/>
      <c r="P7" s="6"/>
      <c r="Q7" s="6"/>
      <c r="R7" s="6"/>
      <c r="S7" s="6">
        <v>40</v>
      </c>
      <c r="T7" s="6"/>
    </row>
    <row r="8" spans="1:20" ht="25.5" customHeight="1" x14ac:dyDescent="0.25">
      <c r="A8" s="74">
        <v>45090</v>
      </c>
      <c r="B8" s="6"/>
      <c r="C8" s="6" t="s">
        <v>18</v>
      </c>
      <c r="D8" s="6">
        <f>54+25+25+400+25+45+100+20+25+25</f>
        <v>744</v>
      </c>
      <c r="E8" s="6" t="s">
        <v>144</v>
      </c>
      <c r="F8" s="6">
        <f t="shared" si="0"/>
        <v>32</v>
      </c>
      <c r="G8" s="6"/>
      <c r="H8" s="98"/>
      <c r="I8" s="6"/>
      <c r="J8" s="6"/>
      <c r="K8" s="6"/>
      <c r="L8" s="6"/>
      <c r="M8" s="6"/>
      <c r="N8" s="6">
        <v>32</v>
      </c>
      <c r="O8" s="6"/>
      <c r="P8" s="6"/>
      <c r="Q8" s="6"/>
      <c r="R8" s="6"/>
      <c r="S8" s="6"/>
      <c r="T8" s="6"/>
    </row>
    <row r="9" spans="1:20" ht="25.5" customHeight="1" x14ac:dyDescent="0.25">
      <c r="A9" s="74">
        <v>45090</v>
      </c>
      <c r="B9" s="6"/>
      <c r="C9" s="6" t="s">
        <v>30</v>
      </c>
      <c r="D9" s="6"/>
      <c r="E9" s="6" t="s">
        <v>239</v>
      </c>
      <c r="F9" s="6">
        <f t="shared" si="0"/>
        <v>80</v>
      </c>
      <c r="G9" s="6"/>
      <c r="H9" s="98"/>
      <c r="I9" s="6"/>
      <c r="J9" s="6"/>
      <c r="K9" s="6"/>
      <c r="L9" s="6"/>
      <c r="M9" s="6"/>
      <c r="N9" s="6">
        <v>80</v>
      </c>
      <c r="O9" s="6"/>
      <c r="P9" s="6"/>
      <c r="Q9" s="6"/>
      <c r="R9" s="6"/>
      <c r="S9" s="6"/>
      <c r="T9" s="6"/>
    </row>
    <row r="10" spans="1:20" ht="25.5" customHeight="1" x14ac:dyDescent="0.25">
      <c r="A10" s="74">
        <v>45090</v>
      </c>
      <c r="B10" s="6"/>
      <c r="C10" s="6" t="s">
        <v>46</v>
      </c>
      <c r="D10" s="6"/>
      <c r="E10" s="6" t="s">
        <v>240</v>
      </c>
      <c r="F10" s="6">
        <f t="shared" si="0"/>
        <v>44</v>
      </c>
      <c r="G10" s="6"/>
      <c r="H10" s="98"/>
      <c r="I10" s="6"/>
      <c r="J10" s="6"/>
      <c r="K10" s="6"/>
      <c r="L10" s="6"/>
      <c r="M10" s="6"/>
      <c r="N10" s="6">
        <v>44</v>
      </c>
      <c r="O10" s="6"/>
      <c r="P10" s="6"/>
      <c r="Q10" s="6"/>
      <c r="R10" s="6"/>
      <c r="S10" s="6"/>
      <c r="T10" s="6"/>
    </row>
    <row r="11" spans="1:20" ht="25.5" customHeight="1" x14ac:dyDescent="0.25">
      <c r="A11" s="74">
        <v>45090</v>
      </c>
      <c r="B11" s="6"/>
      <c r="C11" s="6"/>
      <c r="D11" s="6"/>
      <c r="E11" s="6" t="s">
        <v>132</v>
      </c>
      <c r="F11" s="6">
        <f t="shared" si="0"/>
        <v>5</v>
      </c>
      <c r="G11" s="6"/>
      <c r="H11" s="98"/>
      <c r="I11" s="6"/>
      <c r="J11" s="6"/>
      <c r="K11" s="6"/>
      <c r="L11" s="6"/>
      <c r="M11" s="6"/>
      <c r="N11" s="6">
        <v>5</v>
      </c>
      <c r="O11" s="6"/>
      <c r="P11" s="6"/>
      <c r="Q11" s="6"/>
      <c r="R11" s="6"/>
      <c r="S11" s="6"/>
      <c r="T11" s="6"/>
    </row>
    <row r="12" spans="1:20" ht="25.5" customHeight="1" x14ac:dyDescent="0.25">
      <c r="A12" s="74">
        <v>45090</v>
      </c>
      <c r="B12" s="6"/>
      <c r="C12" s="6"/>
      <c r="D12" s="6"/>
      <c r="E12" s="6" t="s">
        <v>241</v>
      </c>
      <c r="F12" s="6">
        <f t="shared" si="0"/>
        <v>22</v>
      </c>
      <c r="G12" s="6"/>
      <c r="H12" s="98"/>
      <c r="I12" s="6"/>
      <c r="J12" s="6"/>
      <c r="K12" s="6"/>
      <c r="L12" s="6"/>
      <c r="M12" s="6"/>
      <c r="N12" s="6">
        <v>22</v>
      </c>
      <c r="O12" s="6"/>
      <c r="P12" s="6"/>
      <c r="Q12" s="6"/>
      <c r="R12" s="6"/>
      <c r="S12" s="6"/>
      <c r="T12" s="6"/>
    </row>
    <row r="13" spans="1:20" ht="25.5" customHeight="1" x14ac:dyDescent="0.25">
      <c r="A13" s="74">
        <v>45090</v>
      </c>
      <c r="B13" s="6"/>
      <c r="C13" s="6"/>
      <c r="D13" s="6"/>
      <c r="E13" s="6" t="s">
        <v>73</v>
      </c>
      <c r="F13" s="6">
        <f t="shared" si="0"/>
        <v>170</v>
      </c>
      <c r="G13" s="6">
        <v>170</v>
      </c>
      <c r="H13" s="98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</row>
    <row r="14" spans="1:20" ht="25.5" customHeight="1" x14ac:dyDescent="0.25">
      <c r="A14" s="74">
        <v>45090</v>
      </c>
      <c r="B14" s="6"/>
      <c r="C14" s="6"/>
      <c r="D14" s="6"/>
      <c r="E14" s="6" t="s">
        <v>74</v>
      </c>
      <c r="F14" s="6">
        <f t="shared" si="0"/>
        <v>150</v>
      </c>
      <c r="G14" s="6">
        <v>150</v>
      </c>
      <c r="H14" s="98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</row>
    <row r="15" spans="1:20" ht="25.5" customHeight="1" x14ac:dyDescent="0.25">
      <c r="A15" s="74">
        <v>45090</v>
      </c>
      <c r="B15" s="6"/>
      <c r="C15" s="6"/>
      <c r="D15" s="6"/>
      <c r="E15" s="6" t="s">
        <v>117</v>
      </c>
      <c r="F15" s="6">
        <f t="shared" si="0"/>
        <v>150</v>
      </c>
      <c r="G15" s="6">
        <v>150</v>
      </c>
      <c r="H15" s="98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</row>
    <row r="16" spans="1:20" ht="25.5" customHeight="1" x14ac:dyDescent="0.25">
      <c r="A16" s="74">
        <v>45090</v>
      </c>
      <c r="B16" s="6"/>
      <c r="C16" s="6"/>
      <c r="D16" s="6"/>
      <c r="E16" s="6" t="s">
        <v>146</v>
      </c>
      <c r="F16" s="6">
        <f t="shared" si="0"/>
        <v>150</v>
      </c>
      <c r="G16" s="6">
        <v>150</v>
      </c>
      <c r="H16" s="98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</row>
    <row r="17" spans="1:20" ht="25.5" customHeight="1" x14ac:dyDescent="0.25">
      <c r="A17" s="74">
        <v>45090</v>
      </c>
      <c r="B17" s="6"/>
      <c r="C17" s="6"/>
      <c r="D17" s="6"/>
      <c r="E17" s="102" t="s">
        <v>93</v>
      </c>
      <c r="F17" s="6">
        <f t="shared" si="0"/>
        <v>50</v>
      </c>
      <c r="G17" s="6">
        <v>50</v>
      </c>
      <c r="H17" s="98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</row>
    <row r="18" spans="1:20" ht="25.5" customHeight="1" x14ac:dyDescent="0.25">
      <c r="A18" s="74">
        <v>45090</v>
      </c>
      <c r="B18" s="6"/>
      <c r="C18" s="6"/>
      <c r="D18" s="6"/>
      <c r="E18" s="6" t="s">
        <v>121</v>
      </c>
      <c r="F18" s="6">
        <f t="shared" si="0"/>
        <v>160</v>
      </c>
      <c r="G18" s="6">
        <v>160</v>
      </c>
      <c r="H18" s="98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</row>
    <row r="19" spans="1:20" ht="25.5" customHeight="1" x14ac:dyDescent="0.25">
      <c r="A19" s="74">
        <v>45090</v>
      </c>
      <c r="B19" s="6"/>
      <c r="C19" s="6"/>
      <c r="D19" s="6"/>
      <c r="E19" s="6" t="s">
        <v>77</v>
      </c>
      <c r="F19" s="6">
        <f t="shared" si="0"/>
        <v>100</v>
      </c>
      <c r="G19" s="6">
        <v>100</v>
      </c>
      <c r="H19" s="98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</row>
    <row r="20" spans="1:20" ht="25.5" customHeight="1" x14ac:dyDescent="0.25">
      <c r="A20" s="74">
        <v>45090</v>
      </c>
      <c r="B20" s="6"/>
      <c r="C20" s="6"/>
      <c r="D20" s="6"/>
      <c r="E20" s="6" t="s">
        <v>127</v>
      </c>
      <c r="F20" s="6">
        <f t="shared" si="0"/>
        <v>200</v>
      </c>
      <c r="G20" s="6">
        <v>200</v>
      </c>
      <c r="H20" s="98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</row>
    <row r="21" spans="1:20" ht="25.5" customHeight="1" x14ac:dyDescent="0.25">
      <c r="A21" s="74"/>
      <c r="B21" s="6"/>
      <c r="C21" s="6"/>
      <c r="D21" s="6"/>
      <c r="E21" s="6" t="s">
        <v>242</v>
      </c>
      <c r="F21" s="6">
        <f t="shared" si="0"/>
        <v>50</v>
      </c>
      <c r="G21" s="6">
        <v>50</v>
      </c>
      <c r="H21" s="98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</row>
    <row r="22" spans="1:20" ht="25.5" customHeight="1" x14ac:dyDescent="0.25">
      <c r="A22" s="74"/>
      <c r="B22" s="6"/>
      <c r="C22" s="6"/>
      <c r="D22" s="6"/>
      <c r="E22" s="6" t="s">
        <v>88</v>
      </c>
      <c r="F22" s="6">
        <f t="shared" si="0"/>
        <v>150</v>
      </c>
      <c r="G22" s="6">
        <v>150</v>
      </c>
      <c r="H22" s="98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</row>
    <row r="23" spans="1:20" ht="25.5" customHeight="1" x14ac:dyDescent="0.25">
      <c r="A23" s="74"/>
      <c r="B23" s="6"/>
      <c r="C23" s="6"/>
      <c r="D23" s="6"/>
      <c r="E23" s="6" t="s">
        <v>86</v>
      </c>
      <c r="F23" s="6">
        <f t="shared" si="0"/>
        <v>120</v>
      </c>
      <c r="G23" s="6">
        <v>120</v>
      </c>
      <c r="H23" s="98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</row>
    <row r="24" spans="1:20" ht="25.5" customHeight="1" x14ac:dyDescent="0.25">
      <c r="A24" s="74"/>
      <c r="B24" s="6"/>
      <c r="C24" s="6"/>
      <c r="D24" s="6"/>
      <c r="E24" s="6" t="s">
        <v>80</v>
      </c>
      <c r="F24" s="6">
        <f t="shared" si="0"/>
        <v>50</v>
      </c>
      <c r="G24" s="6">
        <v>50</v>
      </c>
      <c r="H24" s="98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</row>
    <row r="25" spans="1:20" ht="25.5" customHeight="1" x14ac:dyDescent="0.25">
      <c r="A25" s="74"/>
      <c r="B25" s="6"/>
      <c r="C25" s="6"/>
      <c r="D25" s="6"/>
      <c r="E25" s="6" t="s">
        <v>85</v>
      </c>
      <c r="F25" s="6">
        <f t="shared" si="0"/>
        <v>100</v>
      </c>
      <c r="G25" s="6">
        <v>100</v>
      </c>
      <c r="H25" s="98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</row>
    <row r="26" spans="1:20" ht="25.5" customHeight="1" x14ac:dyDescent="0.25">
      <c r="A26" s="74"/>
      <c r="B26" s="6"/>
      <c r="C26" s="6"/>
      <c r="D26" s="6"/>
      <c r="E26" s="6" t="s">
        <v>83</v>
      </c>
      <c r="F26" s="6">
        <f t="shared" si="0"/>
        <v>30</v>
      </c>
      <c r="G26" s="6">
        <v>30</v>
      </c>
      <c r="H26" s="98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</row>
    <row r="27" spans="1:20" ht="25.5" customHeight="1" x14ac:dyDescent="0.25">
      <c r="A27" s="74"/>
      <c r="B27" s="6"/>
      <c r="C27" s="6"/>
      <c r="D27" s="6"/>
      <c r="E27" s="6"/>
      <c r="F27" s="6">
        <f t="shared" si="0"/>
        <v>0</v>
      </c>
      <c r="G27" s="6"/>
      <c r="H27" s="98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</row>
    <row r="28" spans="1:20" ht="25.5" customHeight="1" x14ac:dyDescent="0.25">
      <c r="A28" s="74"/>
      <c r="B28" s="6"/>
      <c r="C28" s="6"/>
      <c r="D28" s="6"/>
      <c r="E28" s="6"/>
      <c r="F28" s="6">
        <f t="shared" si="0"/>
        <v>0</v>
      </c>
      <c r="G28" s="6"/>
      <c r="H28" s="98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</row>
    <row r="29" spans="1:20" ht="25.5" customHeight="1" x14ac:dyDescent="0.25">
      <c r="A29" s="74"/>
      <c r="B29" s="6"/>
      <c r="C29" s="6"/>
      <c r="D29" s="6"/>
      <c r="E29" s="6"/>
      <c r="F29" s="6">
        <f t="shared" si="0"/>
        <v>0</v>
      </c>
      <c r="G29" s="6"/>
      <c r="H29" s="98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</row>
    <row r="30" spans="1:20" ht="25.5" customHeight="1" x14ac:dyDescent="0.25">
      <c r="A30" s="74"/>
      <c r="B30" s="6"/>
      <c r="C30" s="6"/>
      <c r="D30" s="6"/>
      <c r="E30" s="6"/>
      <c r="F30" s="6">
        <f t="shared" si="0"/>
        <v>0</v>
      </c>
      <c r="G30" s="6"/>
      <c r="H30" s="98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</row>
    <row r="31" spans="1:20" ht="25.5" customHeight="1" x14ac:dyDescent="0.25">
      <c r="A31" s="74"/>
      <c r="B31" s="6"/>
      <c r="C31" s="6"/>
      <c r="D31" s="6"/>
      <c r="E31" s="6"/>
      <c r="F31" s="6">
        <f t="shared" si="0"/>
        <v>0</v>
      </c>
      <c r="G31" s="6"/>
      <c r="H31" s="98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</row>
    <row r="32" spans="1:20" ht="25.5" customHeight="1" x14ac:dyDescent="0.25">
      <c r="A32" s="74"/>
      <c r="B32" s="6"/>
      <c r="C32" s="6"/>
      <c r="D32" s="6"/>
      <c r="E32" s="6"/>
      <c r="F32" s="6">
        <f t="shared" si="0"/>
        <v>0</v>
      </c>
      <c r="G32" s="6"/>
      <c r="H32" s="98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</row>
    <row r="33" spans="1:20" ht="25.5" customHeight="1" x14ac:dyDescent="0.25">
      <c r="A33" s="74"/>
      <c r="B33" s="6"/>
      <c r="C33" s="6"/>
      <c r="D33" s="6"/>
      <c r="E33" s="6"/>
      <c r="F33" s="6">
        <f t="shared" si="0"/>
        <v>0</v>
      </c>
      <c r="G33" s="6"/>
      <c r="H33" s="98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</row>
    <row r="34" spans="1:20" ht="25.5" customHeight="1" x14ac:dyDescent="0.25">
      <c r="A34" s="74"/>
      <c r="B34" s="6"/>
      <c r="C34" s="6"/>
      <c r="D34" s="6"/>
      <c r="E34" s="6"/>
      <c r="F34" s="6">
        <f t="shared" si="0"/>
        <v>0</v>
      </c>
      <c r="G34" s="6"/>
      <c r="H34" s="98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</row>
    <row r="35" spans="1:20" ht="25.5" customHeight="1" x14ac:dyDescent="0.25">
      <c r="A35" s="74"/>
      <c r="B35" s="6"/>
      <c r="C35" s="6"/>
      <c r="D35" s="6"/>
      <c r="E35" s="6"/>
      <c r="F35" s="6">
        <f t="shared" si="0"/>
        <v>0</v>
      </c>
      <c r="G35" s="6"/>
      <c r="H35" s="98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</row>
    <row r="36" spans="1:20" ht="25.5" customHeight="1" x14ac:dyDescent="0.25">
      <c r="A36" s="74"/>
      <c r="B36" s="6"/>
      <c r="C36" s="6"/>
      <c r="D36" s="6"/>
      <c r="E36" s="6"/>
      <c r="F36" s="6">
        <f t="shared" si="0"/>
        <v>0</v>
      </c>
      <c r="G36" s="6"/>
      <c r="H36" s="98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</row>
    <row r="37" spans="1:20" ht="25.5" customHeight="1" x14ac:dyDescent="0.25">
      <c r="A37" s="74"/>
      <c r="B37" s="6"/>
      <c r="C37" s="6"/>
      <c r="D37" s="6"/>
      <c r="E37" s="6"/>
      <c r="F37" s="6">
        <f t="shared" si="0"/>
        <v>0</v>
      </c>
      <c r="G37" s="6"/>
      <c r="H37" s="98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</row>
    <row r="38" spans="1:20" ht="25.5" customHeight="1" x14ac:dyDescent="0.25">
      <c r="A38" s="74"/>
      <c r="B38" s="6"/>
      <c r="C38" s="6"/>
      <c r="D38" s="6"/>
      <c r="E38" s="6"/>
      <c r="F38" s="6">
        <f t="shared" si="0"/>
        <v>0</v>
      </c>
      <c r="G38" s="6"/>
      <c r="H38" s="98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</row>
    <row r="39" spans="1:20" ht="41.25" customHeight="1" x14ac:dyDescent="0.25">
      <c r="A39" s="165" t="s">
        <v>6</v>
      </c>
      <c r="B39" s="165"/>
      <c r="C39" s="165"/>
      <c r="D39" s="6">
        <f>SUM(D4:D38)</f>
        <v>4918</v>
      </c>
      <c r="E39" s="100"/>
      <c r="F39" s="6">
        <f>SUM(F4:F38)</f>
        <v>2453</v>
      </c>
      <c r="G39" s="6">
        <f t="shared" ref="G39:T39" si="1">SUM(G4:G38)</f>
        <v>1630</v>
      </c>
      <c r="H39" s="98">
        <f t="shared" si="1"/>
        <v>65</v>
      </c>
      <c r="I39" s="6">
        <f t="shared" si="1"/>
        <v>0</v>
      </c>
      <c r="J39" s="6">
        <f t="shared" si="1"/>
        <v>0</v>
      </c>
      <c r="K39" s="6">
        <f t="shared" si="1"/>
        <v>0</v>
      </c>
      <c r="L39" s="6">
        <f t="shared" si="1"/>
        <v>135</v>
      </c>
      <c r="M39" s="6">
        <f t="shared" si="1"/>
        <v>0</v>
      </c>
      <c r="N39" s="6">
        <f t="shared" si="1"/>
        <v>183</v>
      </c>
      <c r="O39" s="6">
        <f t="shared" si="1"/>
        <v>0</v>
      </c>
      <c r="P39" s="6">
        <f t="shared" si="1"/>
        <v>0</v>
      </c>
      <c r="Q39" s="6">
        <f t="shared" si="1"/>
        <v>0</v>
      </c>
      <c r="R39" s="6">
        <f t="shared" si="1"/>
        <v>400</v>
      </c>
      <c r="S39" s="6">
        <f t="shared" si="1"/>
        <v>40</v>
      </c>
      <c r="T39" s="6">
        <f t="shared" si="1"/>
        <v>0</v>
      </c>
    </row>
    <row r="40" spans="1:20" ht="15.75" thickBot="1" x14ac:dyDescent="0.3"/>
    <row r="41" spans="1:20" ht="30.75" customHeight="1" thickTop="1" thickBot="1" x14ac:dyDescent="0.3">
      <c r="E41" s="2" t="s">
        <v>26</v>
      </c>
      <c r="F41" s="3" t="s">
        <v>27</v>
      </c>
      <c r="G41" s="4" t="s">
        <v>28</v>
      </c>
    </row>
    <row r="42" spans="1:20" ht="48.75" customHeight="1" thickTop="1" x14ac:dyDescent="0.25">
      <c r="A42" s="2" t="s">
        <v>19</v>
      </c>
      <c r="B42" s="6">
        <f>+D39</f>
        <v>4918</v>
      </c>
      <c r="C42" s="7"/>
      <c r="E42" s="5">
        <v>200</v>
      </c>
      <c r="F42" s="6">
        <v>4</v>
      </c>
      <c r="G42" s="7">
        <f>+E42*F42</f>
        <v>800</v>
      </c>
    </row>
    <row r="43" spans="1:20" ht="46.5" customHeight="1" x14ac:dyDescent="0.25">
      <c r="A43" s="9" t="s">
        <v>20</v>
      </c>
      <c r="B43" s="6">
        <f>D8</f>
        <v>744</v>
      </c>
      <c r="C43" s="7"/>
      <c r="E43" s="5">
        <v>100</v>
      </c>
      <c r="F43" s="6">
        <v>7</v>
      </c>
      <c r="G43" s="7">
        <f t="shared" ref="G43:G45" si="2">+E43*F43</f>
        <v>700</v>
      </c>
    </row>
    <row r="44" spans="1:20" ht="46.5" customHeight="1" x14ac:dyDescent="0.25">
      <c r="A44" s="9" t="s">
        <v>21</v>
      </c>
      <c r="B44" s="6">
        <f>F39</f>
        <v>2453</v>
      </c>
      <c r="C44" s="7"/>
      <c r="E44" s="5">
        <v>50</v>
      </c>
      <c r="F44" s="6">
        <v>1</v>
      </c>
      <c r="G44" s="7">
        <f t="shared" si="2"/>
        <v>50</v>
      </c>
    </row>
    <row r="45" spans="1:20" ht="51.75" customHeight="1" x14ac:dyDescent="0.25">
      <c r="A45" s="9" t="s">
        <v>22</v>
      </c>
      <c r="B45" s="11">
        <f>+B42-B43-B44</f>
        <v>1721</v>
      </c>
      <c r="C45" s="12"/>
      <c r="E45" s="5">
        <v>20</v>
      </c>
      <c r="F45" s="6">
        <v>3</v>
      </c>
      <c r="G45" s="7">
        <f t="shared" si="2"/>
        <v>60</v>
      </c>
    </row>
    <row r="46" spans="1:20" ht="46.5" customHeight="1" x14ac:dyDescent="0.25">
      <c r="A46" s="9" t="s">
        <v>23</v>
      </c>
      <c r="B46" s="11">
        <f>G49</f>
        <v>1721</v>
      </c>
      <c r="C46" s="12"/>
      <c r="D46" s="1"/>
      <c r="E46" s="5">
        <v>10</v>
      </c>
      <c r="F46" s="6">
        <v>7</v>
      </c>
      <c r="G46" s="7">
        <f>+E46*F46</f>
        <v>70</v>
      </c>
    </row>
    <row r="47" spans="1:20" ht="34.5" customHeight="1" x14ac:dyDescent="0.25">
      <c r="A47" s="9" t="s">
        <v>24</v>
      </c>
      <c r="B47" s="11">
        <f>IF(B45&lt;B46,B46-B45,0)</f>
        <v>0</v>
      </c>
      <c r="C47" s="12"/>
      <c r="E47" s="5">
        <v>5</v>
      </c>
      <c r="F47" s="6">
        <v>8</v>
      </c>
      <c r="G47" s="7">
        <f>+E47*F47</f>
        <v>40</v>
      </c>
    </row>
    <row r="48" spans="1:20" ht="36.75" customHeight="1" x14ac:dyDescent="0.25">
      <c r="A48" s="9" t="s">
        <v>7</v>
      </c>
      <c r="B48" s="11">
        <f>IF(B45&gt;B46,B45-B46,0)</f>
        <v>0</v>
      </c>
      <c r="C48" s="12"/>
      <c r="E48" s="5">
        <v>1</v>
      </c>
      <c r="F48" s="6">
        <v>1</v>
      </c>
      <c r="G48" s="7">
        <f>+E48*F48</f>
        <v>1</v>
      </c>
    </row>
    <row r="49" spans="1:7" ht="30" customHeight="1" thickBot="1" x14ac:dyDescent="0.35">
      <c r="A49" s="10" t="s">
        <v>29</v>
      </c>
      <c r="B49" s="13" t="b">
        <f>B45=B46</f>
        <v>1</v>
      </c>
      <c r="C49" s="14"/>
      <c r="E49" s="159" t="s">
        <v>25</v>
      </c>
      <c r="F49" s="160"/>
      <c r="G49" s="8">
        <f>SUM(G42:G48)</f>
        <v>1721</v>
      </c>
    </row>
    <row r="50" spans="1:7" ht="15.75" thickTop="1" x14ac:dyDescent="0.25"/>
  </sheetData>
  <mergeCells count="3">
    <mergeCell ref="E49:F49"/>
    <mergeCell ref="E2:L2"/>
    <mergeCell ref="A39:C39"/>
  </mergeCells>
  <printOptions horizontalCentered="1" verticalCentered="1"/>
  <pageMargins left="0" right="0" top="0" bottom="0" header="0.31496062992125984" footer="0.31496062992125984"/>
  <pageSetup scale="39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0"/>
  <sheetViews>
    <sheetView rightToLeft="1" topLeftCell="B34" zoomScale="57" zoomScaleNormal="57" workbookViewId="0">
      <selection activeCell="K44" sqref="K44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4.14062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3" width="13.5703125" customWidth="1"/>
    <col min="14" max="14" width="15.7109375" bestFit="1" customWidth="1"/>
    <col min="15" max="15" width="19.140625" bestFit="1" customWidth="1"/>
    <col min="16" max="16" width="19.7109375" bestFit="1" customWidth="1"/>
    <col min="18" max="18" width="19.42578125" bestFit="1" customWidth="1"/>
    <col min="19" max="19" width="14" customWidth="1"/>
    <col min="20" max="20" width="10.140625" customWidth="1"/>
  </cols>
  <sheetData>
    <row r="1" spans="1:20" ht="15.75" hidden="1" thickBot="1" x14ac:dyDescent="0.3"/>
    <row r="2" spans="1:20" ht="25.5" customHeight="1" thickBot="1" x14ac:dyDescent="0.3">
      <c r="A2" s="50" t="s">
        <v>0</v>
      </c>
      <c r="B2" s="51"/>
      <c r="C2" s="51"/>
      <c r="D2" s="52"/>
      <c r="E2" s="157">
        <f ca="1">TODAY()</f>
        <v>45118</v>
      </c>
      <c r="F2" s="158"/>
      <c r="G2" s="158"/>
      <c r="H2" s="158"/>
      <c r="I2" s="158"/>
      <c r="J2" s="158"/>
      <c r="K2" s="158"/>
      <c r="L2" s="158"/>
      <c r="M2" s="53"/>
      <c r="N2" s="53"/>
      <c r="O2" s="53"/>
      <c r="P2" s="53"/>
      <c r="Q2" s="53"/>
      <c r="R2" s="53"/>
      <c r="S2" s="53"/>
      <c r="T2" s="53"/>
    </row>
    <row r="3" spans="1:20" ht="36.75" customHeight="1" x14ac:dyDescent="0.25">
      <c r="A3" s="62" t="s">
        <v>4</v>
      </c>
      <c r="B3" s="62" t="s">
        <v>3</v>
      </c>
      <c r="C3" s="62" t="s">
        <v>1</v>
      </c>
      <c r="D3" s="62" t="s">
        <v>2</v>
      </c>
      <c r="E3" s="62" t="s">
        <v>1</v>
      </c>
      <c r="F3" s="62" t="s">
        <v>13</v>
      </c>
      <c r="G3" s="62" t="s">
        <v>5</v>
      </c>
      <c r="H3" s="95" t="s">
        <v>8</v>
      </c>
      <c r="I3" s="96" t="s">
        <v>9</v>
      </c>
      <c r="J3" s="96" t="s">
        <v>10</v>
      </c>
      <c r="K3" s="96" t="s">
        <v>11</v>
      </c>
      <c r="L3" s="96" t="s">
        <v>12</v>
      </c>
      <c r="M3" s="96" t="s">
        <v>31</v>
      </c>
      <c r="N3" s="96" t="s">
        <v>45</v>
      </c>
      <c r="O3" s="96" t="s">
        <v>32</v>
      </c>
      <c r="P3" s="96" t="s">
        <v>34</v>
      </c>
      <c r="Q3" s="96" t="s">
        <v>35</v>
      </c>
      <c r="R3" s="96" t="s">
        <v>39</v>
      </c>
      <c r="S3" s="96" t="s">
        <v>38</v>
      </c>
      <c r="T3" s="19" t="s">
        <v>40</v>
      </c>
    </row>
    <row r="4" spans="1:20" ht="25.5" customHeight="1" x14ac:dyDescent="0.25">
      <c r="A4" s="74">
        <v>45091</v>
      </c>
      <c r="B4" s="6"/>
      <c r="C4" s="6" t="s">
        <v>14</v>
      </c>
      <c r="D4" s="6">
        <f>666+374</f>
        <v>1040</v>
      </c>
      <c r="E4" s="6" t="s">
        <v>122</v>
      </c>
      <c r="F4" s="6">
        <f>SUM(G4:T4)</f>
        <v>50</v>
      </c>
      <c r="G4" s="6"/>
      <c r="H4" s="98">
        <v>50</v>
      </c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15"/>
    </row>
    <row r="5" spans="1:20" ht="25.5" customHeight="1" x14ac:dyDescent="0.25">
      <c r="A5" s="74">
        <v>45091</v>
      </c>
      <c r="B5" s="6"/>
      <c r="C5" s="6" t="s">
        <v>15</v>
      </c>
      <c r="D5" s="6">
        <f>1404+2244+190</f>
        <v>3838</v>
      </c>
      <c r="E5" s="6" t="s">
        <v>12</v>
      </c>
      <c r="F5" s="6">
        <f t="shared" ref="F5:F38" si="0">SUM(G5:T5)</f>
        <v>180</v>
      </c>
      <c r="G5" s="6"/>
      <c r="H5" s="98"/>
      <c r="I5" s="6"/>
      <c r="J5" s="6"/>
      <c r="K5" s="6"/>
      <c r="L5" s="6">
        <f>90+90</f>
        <v>180</v>
      </c>
      <c r="M5" s="6"/>
      <c r="N5" s="6"/>
      <c r="O5" s="6"/>
      <c r="P5" s="6"/>
      <c r="Q5" s="6"/>
      <c r="R5" s="6"/>
      <c r="S5" s="6"/>
      <c r="T5" s="15"/>
    </row>
    <row r="6" spans="1:20" ht="25.5" customHeight="1" x14ac:dyDescent="0.25">
      <c r="A6" s="74">
        <v>45091</v>
      </c>
      <c r="B6" s="6"/>
      <c r="C6" s="6" t="s">
        <v>16</v>
      </c>
      <c r="D6" s="6">
        <v>0</v>
      </c>
      <c r="E6" s="6" t="s">
        <v>246</v>
      </c>
      <c r="F6" s="6">
        <f t="shared" si="0"/>
        <v>170</v>
      </c>
      <c r="G6" s="6"/>
      <c r="H6" s="98"/>
      <c r="I6" s="6"/>
      <c r="J6" s="6"/>
      <c r="K6" s="6"/>
      <c r="L6" s="6"/>
      <c r="M6" s="6"/>
      <c r="N6" s="6"/>
      <c r="O6" s="6"/>
      <c r="P6" s="6">
        <v>170</v>
      </c>
      <c r="Q6" s="6"/>
      <c r="R6" s="6"/>
      <c r="S6" s="6"/>
      <c r="T6" s="15"/>
    </row>
    <row r="7" spans="1:20" ht="25.5" customHeight="1" x14ac:dyDescent="0.25">
      <c r="A7" s="74">
        <v>45091</v>
      </c>
      <c r="B7" s="6"/>
      <c r="C7" s="6" t="s">
        <v>17</v>
      </c>
      <c r="D7" s="6">
        <f>75+128</f>
        <v>203</v>
      </c>
      <c r="E7" s="6" t="s">
        <v>247</v>
      </c>
      <c r="F7" s="6">
        <f t="shared" si="0"/>
        <v>10</v>
      </c>
      <c r="G7" s="6"/>
      <c r="H7" s="98"/>
      <c r="I7" s="6"/>
      <c r="J7" s="6"/>
      <c r="K7" s="6"/>
      <c r="L7" s="6"/>
      <c r="M7" s="6"/>
      <c r="N7" s="6"/>
      <c r="O7" s="6"/>
      <c r="P7" s="6">
        <v>10</v>
      </c>
      <c r="Q7" s="6"/>
      <c r="R7" s="6"/>
      <c r="S7" s="6"/>
      <c r="T7" s="15"/>
    </row>
    <row r="8" spans="1:20" ht="25.5" customHeight="1" x14ac:dyDescent="0.25">
      <c r="A8" s="74">
        <v>45091</v>
      </c>
      <c r="B8" s="6"/>
      <c r="C8" s="6" t="s">
        <v>18</v>
      </c>
      <c r="D8" s="6">
        <f>65+500+25+244+90+150+30+150+25+44+20+20+35</f>
        <v>1398</v>
      </c>
      <c r="E8" s="6" t="s">
        <v>248</v>
      </c>
      <c r="F8" s="6">
        <f t="shared" si="0"/>
        <v>555</v>
      </c>
      <c r="G8" s="6"/>
      <c r="H8" s="98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15">
        <v>555</v>
      </c>
    </row>
    <row r="9" spans="1:20" ht="25.5" customHeight="1" x14ac:dyDescent="0.25">
      <c r="A9" s="74">
        <v>45091</v>
      </c>
      <c r="B9" s="6"/>
      <c r="C9" s="6" t="s">
        <v>30</v>
      </c>
      <c r="D9" s="6">
        <v>0</v>
      </c>
      <c r="E9" s="6" t="s">
        <v>73</v>
      </c>
      <c r="F9" s="6">
        <f t="shared" si="0"/>
        <v>170</v>
      </c>
      <c r="G9" s="6">
        <v>170</v>
      </c>
      <c r="H9" s="98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15"/>
    </row>
    <row r="10" spans="1:20" ht="25.5" customHeight="1" x14ac:dyDescent="0.25">
      <c r="A10" s="74">
        <v>45091</v>
      </c>
      <c r="B10" s="6"/>
      <c r="C10" s="6" t="s">
        <v>46</v>
      </c>
      <c r="D10" s="6">
        <v>0</v>
      </c>
      <c r="E10" s="6" t="s">
        <v>117</v>
      </c>
      <c r="F10" s="6">
        <f t="shared" si="0"/>
        <v>150</v>
      </c>
      <c r="G10" s="6">
        <v>150</v>
      </c>
      <c r="H10" s="98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15"/>
    </row>
    <row r="11" spans="1:20" ht="25.5" customHeight="1" x14ac:dyDescent="0.25">
      <c r="A11" s="74">
        <v>45091</v>
      </c>
      <c r="B11" s="6"/>
      <c r="C11" s="6"/>
      <c r="D11" s="6"/>
      <c r="E11" s="6" t="s">
        <v>146</v>
      </c>
      <c r="F11" s="6">
        <f t="shared" si="0"/>
        <v>150</v>
      </c>
      <c r="G11" s="6">
        <v>150</v>
      </c>
      <c r="H11" s="98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15"/>
    </row>
    <row r="12" spans="1:20" ht="25.5" customHeight="1" x14ac:dyDescent="0.25">
      <c r="A12" s="74">
        <v>45091</v>
      </c>
      <c r="B12" s="6"/>
      <c r="C12" s="6"/>
      <c r="D12" s="6"/>
      <c r="E12" s="6" t="s">
        <v>74</v>
      </c>
      <c r="F12" s="6">
        <f t="shared" si="0"/>
        <v>150</v>
      </c>
      <c r="G12" s="6">
        <v>150</v>
      </c>
      <c r="H12" s="98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15"/>
    </row>
    <row r="13" spans="1:20" ht="25.5" customHeight="1" x14ac:dyDescent="0.25">
      <c r="A13" s="74">
        <v>45091</v>
      </c>
      <c r="B13" s="6"/>
      <c r="C13" s="6"/>
      <c r="D13" s="6"/>
      <c r="E13" s="6" t="s">
        <v>120</v>
      </c>
      <c r="F13" s="6">
        <f t="shared" si="0"/>
        <v>50</v>
      </c>
      <c r="G13" s="6">
        <v>50</v>
      </c>
      <c r="H13" s="98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15"/>
    </row>
    <row r="14" spans="1:20" ht="25.5" customHeight="1" x14ac:dyDescent="0.25">
      <c r="A14" s="74">
        <v>45091</v>
      </c>
      <c r="B14" s="6"/>
      <c r="C14" s="6"/>
      <c r="D14" s="6"/>
      <c r="E14" s="6" t="s">
        <v>226</v>
      </c>
      <c r="F14" s="6">
        <f t="shared" si="0"/>
        <v>170</v>
      </c>
      <c r="G14" s="6">
        <v>170</v>
      </c>
      <c r="H14" s="98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15"/>
    </row>
    <row r="15" spans="1:20" ht="25.5" customHeight="1" x14ac:dyDescent="0.25">
      <c r="A15" s="74">
        <v>45091</v>
      </c>
      <c r="B15" s="6"/>
      <c r="C15" s="6"/>
      <c r="D15" s="6"/>
      <c r="E15" s="6" t="s">
        <v>85</v>
      </c>
      <c r="F15" s="6">
        <f t="shared" si="0"/>
        <v>100</v>
      </c>
      <c r="G15" s="6">
        <v>100</v>
      </c>
      <c r="H15" s="98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15"/>
    </row>
    <row r="16" spans="1:20" ht="25.5" customHeight="1" x14ac:dyDescent="0.25">
      <c r="A16" s="74">
        <v>45091</v>
      </c>
      <c r="B16" s="6"/>
      <c r="C16" s="6"/>
      <c r="D16" s="6"/>
      <c r="E16" s="6" t="s">
        <v>79</v>
      </c>
      <c r="F16" s="6">
        <f t="shared" si="0"/>
        <v>50</v>
      </c>
      <c r="G16" s="6">
        <v>50</v>
      </c>
      <c r="H16" s="98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15"/>
    </row>
    <row r="17" spans="1:20" ht="25.5" customHeight="1" x14ac:dyDescent="0.25">
      <c r="A17" s="74">
        <v>45091</v>
      </c>
      <c r="B17" s="6"/>
      <c r="C17" s="6"/>
      <c r="D17" s="6"/>
      <c r="E17" s="6" t="s">
        <v>121</v>
      </c>
      <c r="F17" s="6">
        <f t="shared" si="0"/>
        <v>160</v>
      </c>
      <c r="G17" s="6">
        <v>160</v>
      </c>
      <c r="H17" s="98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15"/>
    </row>
    <row r="18" spans="1:20" ht="25.5" customHeight="1" x14ac:dyDescent="0.25">
      <c r="A18" s="74">
        <v>45091</v>
      </c>
      <c r="B18" s="6"/>
      <c r="C18" s="6"/>
      <c r="D18" s="6"/>
      <c r="E18" s="6" t="s">
        <v>127</v>
      </c>
      <c r="F18" s="6">
        <f t="shared" si="0"/>
        <v>200</v>
      </c>
      <c r="G18" s="6">
        <v>200</v>
      </c>
      <c r="H18" s="98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15"/>
    </row>
    <row r="19" spans="1:20" ht="25.5" customHeight="1" x14ac:dyDescent="0.25">
      <c r="A19" s="74">
        <v>45091</v>
      </c>
      <c r="B19" s="6"/>
      <c r="C19" s="6"/>
      <c r="D19" s="6"/>
      <c r="E19" s="6" t="s">
        <v>77</v>
      </c>
      <c r="F19" s="6">
        <f t="shared" si="0"/>
        <v>100</v>
      </c>
      <c r="G19" s="6">
        <v>100</v>
      </c>
      <c r="H19" s="98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15"/>
    </row>
    <row r="20" spans="1:20" ht="25.5" customHeight="1" x14ac:dyDescent="0.25">
      <c r="A20" s="74">
        <v>45091</v>
      </c>
      <c r="B20" s="6"/>
      <c r="C20" s="6"/>
      <c r="D20" s="6"/>
      <c r="E20" s="6" t="s">
        <v>83</v>
      </c>
      <c r="F20" s="6">
        <f t="shared" si="0"/>
        <v>30</v>
      </c>
      <c r="G20" s="6">
        <v>30</v>
      </c>
      <c r="H20" s="98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15"/>
    </row>
    <row r="21" spans="1:20" ht="25.5" customHeight="1" x14ac:dyDescent="0.25">
      <c r="A21" s="74">
        <v>45091</v>
      </c>
      <c r="B21" s="6"/>
      <c r="C21" s="6"/>
      <c r="D21" s="6"/>
      <c r="E21" s="6" t="s">
        <v>88</v>
      </c>
      <c r="F21" s="6">
        <f t="shared" si="0"/>
        <v>150</v>
      </c>
      <c r="G21" s="6">
        <v>150</v>
      </c>
      <c r="H21" s="98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15"/>
    </row>
    <row r="22" spans="1:20" ht="25.5" customHeight="1" x14ac:dyDescent="0.25">
      <c r="A22" s="74"/>
      <c r="B22" s="6"/>
      <c r="C22" s="6"/>
      <c r="D22" s="6"/>
      <c r="E22" s="6" t="s">
        <v>80</v>
      </c>
      <c r="F22" s="6">
        <f t="shared" si="0"/>
        <v>50</v>
      </c>
      <c r="G22" s="6">
        <v>50</v>
      </c>
      <c r="H22" s="98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15"/>
    </row>
    <row r="23" spans="1:20" ht="25.5" customHeight="1" x14ac:dyDescent="0.25">
      <c r="A23" s="74"/>
      <c r="B23" s="6"/>
      <c r="C23" s="6"/>
      <c r="D23" s="6"/>
      <c r="E23" s="6" t="s">
        <v>86</v>
      </c>
      <c r="F23" s="6">
        <f t="shared" si="0"/>
        <v>120</v>
      </c>
      <c r="G23" s="6">
        <v>120</v>
      </c>
      <c r="H23" s="98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15"/>
    </row>
    <row r="24" spans="1:20" ht="25.5" customHeight="1" x14ac:dyDescent="0.25">
      <c r="A24" s="74"/>
      <c r="B24" s="6"/>
      <c r="C24" s="6"/>
      <c r="D24" s="6"/>
      <c r="E24" s="6"/>
      <c r="F24" s="6">
        <f t="shared" si="0"/>
        <v>0</v>
      </c>
      <c r="G24" s="6"/>
      <c r="H24" s="98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15"/>
    </row>
    <row r="25" spans="1:20" ht="25.5" customHeight="1" x14ac:dyDescent="0.25">
      <c r="A25" s="74"/>
      <c r="B25" s="6"/>
      <c r="C25" s="6"/>
      <c r="D25" s="6"/>
      <c r="E25" s="6"/>
      <c r="F25" s="6">
        <f t="shared" si="0"/>
        <v>0</v>
      </c>
      <c r="G25" s="6"/>
      <c r="H25" s="98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15"/>
    </row>
    <row r="26" spans="1:20" ht="25.5" customHeight="1" x14ac:dyDescent="0.25">
      <c r="A26" s="74"/>
      <c r="B26" s="6"/>
      <c r="C26" s="6"/>
      <c r="D26" s="6"/>
      <c r="E26" s="6"/>
      <c r="F26" s="6">
        <f t="shared" si="0"/>
        <v>0</v>
      </c>
      <c r="G26" s="6"/>
      <c r="H26" s="98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15"/>
    </row>
    <row r="27" spans="1:20" ht="25.5" customHeight="1" x14ac:dyDescent="0.25">
      <c r="A27" s="74"/>
      <c r="B27" s="6"/>
      <c r="C27" s="6"/>
      <c r="D27" s="6"/>
      <c r="E27" s="6"/>
      <c r="F27" s="6">
        <f t="shared" si="0"/>
        <v>0</v>
      </c>
      <c r="G27" s="6"/>
      <c r="H27" s="98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15"/>
    </row>
    <row r="28" spans="1:20" ht="25.5" customHeight="1" x14ac:dyDescent="0.25">
      <c r="A28" s="74"/>
      <c r="B28" s="6"/>
      <c r="C28" s="6"/>
      <c r="D28" s="6"/>
      <c r="E28" s="6"/>
      <c r="F28" s="6">
        <f t="shared" si="0"/>
        <v>0</v>
      </c>
      <c r="G28" s="6"/>
      <c r="H28" s="98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15"/>
    </row>
    <row r="29" spans="1:20" ht="25.5" customHeight="1" x14ac:dyDescent="0.25">
      <c r="A29" s="74"/>
      <c r="B29" s="6"/>
      <c r="C29" s="6"/>
      <c r="D29" s="6"/>
      <c r="E29" s="6"/>
      <c r="F29" s="6">
        <f t="shared" si="0"/>
        <v>0</v>
      </c>
      <c r="G29" s="6"/>
      <c r="H29" s="98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15"/>
    </row>
    <row r="30" spans="1:20" ht="25.5" customHeight="1" x14ac:dyDescent="0.25">
      <c r="A30" s="74"/>
      <c r="B30" s="6"/>
      <c r="C30" s="6"/>
      <c r="D30" s="6"/>
      <c r="E30" s="6"/>
      <c r="F30" s="6">
        <f t="shared" si="0"/>
        <v>0</v>
      </c>
      <c r="G30" s="6"/>
      <c r="H30" s="98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15"/>
    </row>
    <row r="31" spans="1:20" ht="25.5" customHeight="1" x14ac:dyDescent="0.25">
      <c r="A31" s="74"/>
      <c r="B31" s="6"/>
      <c r="C31" s="6"/>
      <c r="D31" s="6"/>
      <c r="E31" s="6"/>
      <c r="F31" s="6">
        <f t="shared" si="0"/>
        <v>0</v>
      </c>
      <c r="G31" s="6"/>
      <c r="H31" s="98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15"/>
    </row>
    <row r="32" spans="1:20" ht="25.5" customHeight="1" x14ac:dyDescent="0.25">
      <c r="A32" s="74"/>
      <c r="B32" s="6"/>
      <c r="C32" s="6"/>
      <c r="D32" s="6"/>
      <c r="E32" s="6"/>
      <c r="F32" s="6">
        <f t="shared" si="0"/>
        <v>0</v>
      </c>
      <c r="G32" s="6"/>
      <c r="H32" s="98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15"/>
    </row>
    <row r="33" spans="1:20" ht="25.5" customHeight="1" x14ac:dyDescent="0.25">
      <c r="A33" s="74"/>
      <c r="B33" s="6"/>
      <c r="C33" s="6"/>
      <c r="D33" s="6"/>
      <c r="E33" s="6"/>
      <c r="F33" s="6">
        <f t="shared" si="0"/>
        <v>0</v>
      </c>
      <c r="G33" s="6"/>
      <c r="H33" s="98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15"/>
    </row>
    <row r="34" spans="1:20" ht="25.5" customHeight="1" x14ac:dyDescent="0.25">
      <c r="A34" s="74"/>
      <c r="B34" s="6"/>
      <c r="C34" s="6"/>
      <c r="D34" s="6"/>
      <c r="E34" s="6"/>
      <c r="F34" s="6">
        <f t="shared" si="0"/>
        <v>0</v>
      </c>
      <c r="G34" s="6"/>
      <c r="H34" s="98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15"/>
    </row>
    <row r="35" spans="1:20" ht="25.5" customHeight="1" x14ac:dyDescent="0.25">
      <c r="A35" s="74"/>
      <c r="B35" s="6"/>
      <c r="C35" s="6"/>
      <c r="D35" s="6"/>
      <c r="E35" s="6"/>
      <c r="F35" s="6">
        <f t="shared" si="0"/>
        <v>0</v>
      </c>
      <c r="G35" s="6"/>
      <c r="H35" s="98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15"/>
    </row>
    <row r="36" spans="1:20" ht="25.5" customHeight="1" x14ac:dyDescent="0.25">
      <c r="A36" s="74"/>
      <c r="B36" s="6"/>
      <c r="C36" s="6"/>
      <c r="D36" s="6"/>
      <c r="E36" s="6"/>
      <c r="F36" s="6">
        <f t="shared" si="0"/>
        <v>0</v>
      </c>
      <c r="G36" s="6"/>
      <c r="H36" s="98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15"/>
    </row>
    <row r="37" spans="1:20" ht="25.5" customHeight="1" x14ac:dyDescent="0.25">
      <c r="A37" s="74"/>
      <c r="B37" s="6"/>
      <c r="C37" s="6"/>
      <c r="D37" s="6"/>
      <c r="E37" s="6"/>
      <c r="F37" s="6">
        <f t="shared" si="0"/>
        <v>0</v>
      </c>
      <c r="G37" s="6"/>
      <c r="H37" s="98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15"/>
    </row>
    <row r="38" spans="1:20" ht="25.5" customHeight="1" x14ac:dyDescent="0.25">
      <c r="A38" s="74"/>
      <c r="B38" s="6"/>
      <c r="C38" s="6"/>
      <c r="D38" s="6"/>
      <c r="E38" s="6"/>
      <c r="F38" s="6">
        <f t="shared" si="0"/>
        <v>0</v>
      </c>
      <c r="G38" s="6"/>
      <c r="H38" s="98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15"/>
    </row>
    <row r="39" spans="1:20" ht="41.25" customHeight="1" x14ac:dyDescent="0.25">
      <c r="A39" s="165" t="s">
        <v>6</v>
      </c>
      <c r="B39" s="165"/>
      <c r="C39" s="165"/>
      <c r="D39" s="6">
        <f>SUM(D4:D38)</f>
        <v>6479</v>
      </c>
      <c r="E39" s="101"/>
      <c r="F39" s="6">
        <f>SUM(F4:F38)</f>
        <v>2765</v>
      </c>
      <c r="G39" s="6">
        <f t="shared" ref="G39:T39" si="1">SUM(G4:G38)</f>
        <v>1800</v>
      </c>
      <c r="H39" s="98">
        <f t="shared" si="1"/>
        <v>50</v>
      </c>
      <c r="I39" s="6">
        <f t="shared" si="1"/>
        <v>0</v>
      </c>
      <c r="J39" s="6">
        <f t="shared" si="1"/>
        <v>0</v>
      </c>
      <c r="K39" s="6">
        <f t="shared" si="1"/>
        <v>0</v>
      </c>
      <c r="L39" s="6">
        <f t="shared" si="1"/>
        <v>180</v>
      </c>
      <c r="M39" s="6">
        <f t="shared" si="1"/>
        <v>0</v>
      </c>
      <c r="N39" s="6">
        <f t="shared" si="1"/>
        <v>0</v>
      </c>
      <c r="O39" s="6">
        <f t="shared" si="1"/>
        <v>0</v>
      </c>
      <c r="P39" s="6">
        <f t="shared" si="1"/>
        <v>180</v>
      </c>
      <c r="Q39" s="6">
        <f t="shared" si="1"/>
        <v>0</v>
      </c>
      <c r="R39" s="6">
        <f t="shared" si="1"/>
        <v>0</v>
      </c>
      <c r="S39" s="6">
        <f t="shared" si="1"/>
        <v>0</v>
      </c>
      <c r="T39" s="15">
        <f t="shared" si="1"/>
        <v>555</v>
      </c>
    </row>
    <row r="40" spans="1:20" ht="15.75" thickBot="1" x14ac:dyDescent="0.3"/>
    <row r="41" spans="1:20" ht="30.75" customHeight="1" thickTop="1" thickBot="1" x14ac:dyDescent="0.3">
      <c r="E41" s="2" t="s">
        <v>26</v>
      </c>
      <c r="F41" s="3" t="s">
        <v>27</v>
      </c>
      <c r="G41" s="4" t="s">
        <v>28</v>
      </c>
    </row>
    <row r="42" spans="1:20" ht="48.75" customHeight="1" thickTop="1" x14ac:dyDescent="0.25">
      <c r="A42" s="2" t="s">
        <v>19</v>
      </c>
      <c r="B42" s="6">
        <f>+D39</f>
        <v>6479</v>
      </c>
      <c r="C42" s="7"/>
      <c r="E42" s="5">
        <v>200</v>
      </c>
      <c r="F42" s="6">
        <v>6</v>
      </c>
      <c r="G42" s="7">
        <f>+E42*F42</f>
        <v>1200</v>
      </c>
    </row>
    <row r="43" spans="1:20" ht="46.5" customHeight="1" x14ac:dyDescent="0.25">
      <c r="A43" s="9" t="s">
        <v>20</v>
      </c>
      <c r="B43" s="6">
        <f>D8</f>
        <v>1398</v>
      </c>
      <c r="C43" s="7"/>
      <c r="E43" s="5">
        <v>100</v>
      </c>
      <c r="F43" s="6">
        <v>9</v>
      </c>
      <c r="G43" s="7">
        <f t="shared" ref="G43:G45" si="2">+E43*F43</f>
        <v>900</v>
      </c>
    </row>
    <row r="44" spans="1:20" ht="46.5" customHeight="1" x14ac:dyDescent="0.25">
      <c r="A44" s="9" t="s">
        <v>21</v>
      </c>
      <c r="B44" s="6">
        <f>F39</f>
        <v>2765</v>
      </c>
      <c r="C44" s="7"/>
      <c r="E44" s="5">
        <v>50</v>
      </c>
      <c r="F44" s="6">
        <v>3</v>
      </c>
      <c r="G44" s="7">
        <f t="shared" si="2"/>
        <v>150</v>
      </c>
    </row>
    <row r="45" spans="1:20" ht="51.75" customHeight="1" x14ac:dyDescent="0.25">
      <c r="A45" s="9" t="s">
        <v>22</v>
      </c>
      <c r="B45" s="11">
        <f>+B42-B43-B44</f>
        <v>2316</v>
      </c>
      <c r="C45" s="12"/>
      <c r="E45" s="5">
        <v>20</v>
      </c>
      <c r="F45" s="6">
        <v>2</v>
      </c>
      <c r="G45" s="7">
        <f t="shared" si="2"/>
        <v>40</v>
      </c>
    </row>
    <row r="46" spans="1:20" ht="46.5" customHeight="1" x14ac:dyDescent="0.25">
      <c r="A46" s="9" t="s">
        <v>23</v>
      </c>
      <c r="B46" s="11">
        <f>G49</f>
        <v>2316</v>
      </c>
      <c r="C46" s="12"/>
      <c r="D46" s="1"/>
      <c r="E46" s="5">
        <v>10</v>
      </c>
      <c r="F46" s="6">
        <v>2</v>
      </c>
      <c r="G46" s="7">
        <f>+E46*F46</f>
        <v>20</v>
      </c>
    </row>
    <row r="47" spans="1:20" ht="34.5" customHeight="1" x14ac:dyDescent="0.25">
      <c r="A47" s="9" t="s">
        <v>24</v>
      </c>
      <c r="B47" s="11">
        <f>IF(B45&lt;B46,B46-B45,0)</f>
        <v>0</v>
      </c>
      <c r="C47" s="12"/>
      <c r="E47" s="5">
        <v>5</v>
      </c>
      <c r="F47" s="6">
        <v>1</v>
      </c>
      <c r="G47" s="7">
        <f>+E47*F47</f>
        <v>5</v>
      </c>
    </row>
    <row r="48" spans="1:20" ht="36.75" customHeight="1" x14ac:dyDescent="0.25">
      <c r="A48" s="9" t="s">
        <v>7</v>
      </c>
      <c r="B48" s="11">
        <f>IF(B45&gt;B46,B45-B46,0)</f>
        <v>0</v>
      </c>
      <c r="C48" s="12"/>
      <c r="E48" s="5">
        <v>1</v>
      </c>
      <c r="F48" s="6">
        <v>1</v>
      </c>
      <c r="G48" s="7">
        <f>+E48*F48</f>
        <v>1</v>
      </c>
    </row>
    <row r="49" spans="1:7" ht="30" customHeight="1" thickBot="1" x14ac:dyDescent="0.35">
      <c r="A49" s="10" t="s">
        <v>29</v>
      </c>
      <c r="B49" s="13" t="b">
        <f>B45=B46</f>
        <v>1</v>
      </c>
      <c r="C49" s="14"/>
      <c r="E49" s="159" t="s">
        <v>25</v>
      </c>
      <c r="F49" s="160"/>
      <c r="G49" s="8">
        <f>SUM(G42:G48)</f>
        <v>2316</v>
      </c>
    </row>
    <row r="50" spans="1:7" ht="15.75" thickTop="1" x14ac:dyDescent="0.25"/>
  </sheetData>
  <mergeCells count="3">
    <mergeCell ref="E49:F49"/>
    <mergeCell ref="E2:L2"/>
    <mergeCell ref="A39:C39"/>
  </mergeCells>
  <printOptions horizontalCentered="1" verticalCentered="1"/>
  <pageMargins left="0" right="0" top="0" bottom="0" header="0.31496062992125984" footer="0.31496062992125984"/>
  <pageSetup scale="39" orientation="landscape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0"/>
  <sheetViews>
    <sheetView rightToLeft="1" topLeftCell="D42" zoomScale="66" zoomScaleNormal="66" workbookViewId="0">
      <selection activeCell="P44" sqref="P44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4.14062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3" width="13.140625" bestFit="1" customWidth="1"/>
    <col min="14" max="14" width="15" bestFit="1" customWidth="1"/>
    <col min="15" max="15" width="18.85546875" bestFit="1" customWidth="1"/>
    <col min="16" max="16" width="18.42578125" bestFit="1" customWidth="1"/>
    <col min="17" max="17" width="10.28515625" bestFit="1" customWidth="1"/>
    <col min="18" max="18" width="18.42578125" bestFit="1" customWidth="1"/>
    <col min="19" max="19" width="14" customWidth="1"/>
    <col min="20" max="20" width="10.140625" customWidth="1"/>
  </cols>
  <sheetData>
    <row r="1" spans="1:20" ht="15.75" hidden="1" thickBot="1" x14ac:dyDescent="0.3"/>
    <row r="2" spans="1:20" ht="25.5" customHeight="1" thickBot="1" x14ac:dyDescent="0.35">
      <c r="A2" s="92" t="s">
        <v>0</v>
      </c>
      <c r="B2" s="93"/>
      <c r="C2" s="93"/>
      <c r="D2" s="94"/>
      <c r="E2" s="168">
        <f ca="1">TODAY()</f>
        <v>45118</v>
      </c>
      <c r="F2" s="169"/>
      <c r="G2" s="169"/>
      <c r="H2" s="169"/>
      <c r="I2" s="169"/>
      <c r="J2" s="169"/>
      <c r="K2" s="169"/>
      <c r="L2" s="169"/>
      <c r="M2" s="63"/>
      <c r="N2" s="63"/>
      <c r="O2" s="63"/>
      <c r="P2" s="63"/>
      <c r="Q2" s="63"/>
      <c r="R2" s="63"/>
      <c r="S2" s="63"/>
      <c r="T2" s="63"/>
    </row>
    <row r="3" spans="1:20" ht="36.75" customHeight="1" x14ac:dyDescent="0.25">
      <c r="A3" s="62" t="s">
        <v>4</v>
      </c>
      <c r="B3" s="62" t="s">
        <v>3</v>
      </c>
      <c r="C3" s="62" t="s">
        <v>1</v>
      </c>
      <c r="D3" s="62" t="s">
        <v>2</v>
      </c>
      <c r="E3" s="62" t="s">
        <v>1</v>
      </c>
      <c r="F3" s="62" t="s">
        <v>13</v>
      </c>
      <c r="G3" s="62" t="s">
        <v>5</v>
      </c>
      <c r="H3" s="95" t="s">
        <v>8</v>
      </c>
      <c r="I3" s="96" t="s">
        <v>9</v>
      </c>
      <c r="J3" s="96" t="s">
        <v>10</v>
      </c>
      <c r="K3" s="96" t="s">
        <v>11</v>
      </c>
      <c r="L3" s="96" t="s">
        <v>12</v>
      </c>
      <c r="M3" s="96" t="s">
        <v>31</v>
      </c>
      <c r="N3" s="96" t="s">
        <v>45</v>
      </c>
      <c r="O3" s="96" t="s">
        <v>32</v>
      </c>
      <c r="P3" s="96" t="s">
        <v>34</v>
      </c>
      <c r="Q3" s="96" t="s">
        <v>35</v>
      </c>
      <c r="R3" s="96" t="s">
        <v>39</v>
      </c>
      <c r="S3" s="96" t="s">
        <v>38</v>
      </c>
      <c r="T3" s="97" t="s">
        <v>40</v>
      </c>
    </row>
    <row r="4" spans="1:20" ht="25.5" customHeight="1" x14ac:dyDescent="0.25">
      <c r="A4" s="74">
        <v>45092</v>
      </c>
      <c r="B4" s="6"/>
      <c r="C4" s="6" t="s">
        <v>14</v>
      </c>
      <c r="D4" s="6">
        <f>1596+917</f>
        <v>2513</v>
      </c>
      <c r="E4" s="6" t="s">
        <v>65</v>
      </c>
      <c r="F4" s="6">
        <f>SUM(G4:T4)</f>
        <v>50</v>
      </c>
      <c r="G4" s="6"/>
      <c r="H4" s="98">
        <v>50</v>
      </c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</row>
    <row r="5" spans="1:20" ht="25.5" customHeight="1" x14ac:dyDescent="0.25">
      <c r="A5" s="74">
        <v>45092</v>
      </c>
      <c r="B5" s="6"/>
      <c r="C5" s="6" t="s">
        <v>15</v>
      </c>
      <c r="D5" s="6">
        <f>2553+2545</f>
        <v>5098</v>
      </c>
      <c r="E5" s="6" t="s">
        <v>12</v>
      </c>
      <c r="F5" s="6">
        <f t="shared" ref="F5:F38" si="0">SUM(G5:T5)</f>
        <v>360</v>
      </c>
      <c r="G5" s="6"/>
      <c r="H5" s="98"/>
      <c r="I5" s="6"/>
      <c r="J5" s="6"/>
      <c r="K5" s="6"/>
      <c r="L5" s="6">
        <f>90+90+90+90</f>
        <v>360</v>
      </c>
      <c r="M5" s="6"/>
      <c r="N5" s="6"/>
      <c r="O5" s="6"/>
      <c r="P5" s="6"/>
      <c r="Q5" s="6"/>
      <c r="R5" s="6"/>
      <c r="S5" s="6"/>
      <c r="T5" s="6"/>
    </row>
    <row r="6" spans="1:20" ht="25.5" customHeight="1" x14ac:dyDescent="0.25">
      <c r="A6" s="74">
        <v>45092</v>
      </c>
      <c r="B6" s="6"/>
      <c r="C6" s="6" t="s">
        <v>16</v>
      </c>
      <c r="D6" s="6">
        <v>0</v>
      </c>
      <c r="E6" s="6" t="s">
        <v>66</v>
      </c>
      <c r="F6" s="6">
        <f t="shared" si="0"/>
        <v>250</v>
      </c>
      <c r="G6" s="6"/>
      <c r="H6" s="98"/>
      <c r="I6" s="6"/>
      <c r="J6" s="6"/>
      <c r="K6" s="6"/>
      <c r="L6" s="6"/>
      <c r="M6" s="6"/>
      <c r="N6" s="6"/>
      <c r="O6" s="6"/>
      <c r="P6" s="6"/>
      <c r="Q6" s="6"/>
      <c r="R6" s="6">
        <v>250</v>
      </c>
      <c r="S6" s="6"/>
      <c r="T6" s="6"/>
    </row>
    <row r="7" spans="1:20" ht="25.5" customHeight="1" x14ac:dyDescent="0.25">
      <c r="A7" s="74">
        <v>45092</v>
      </c>
      <c r="B7" s="6"/>
      <c r="C7" s="6" t="s">
        <v>17</v>
      </c>
      <c r="D7" s="6">
        <v>335</v>
      </c>
      <c r="E7" s="6" t="s">
        <v>249</v>
      </c>
      <c r="F7" s="6">
        <f t="shared" si="0"/>
        <v>10</v>
      </c>
      <c r="G7" s="6"/>
      <c r="H7" s="98"/>
      <c r="I7" s="6"/>
      <c r="J7" s="6"/>
      <c r="K7" s="6"/>
      <c r="L7" s="6"/>
      <c r="M7" s="6">
        <v>10</v>
      </c>
      <c r="N7" s="6"/>
      <c r="O7" s="6"/>
      <c r="P7" s="6"/>
      <c r="Q7" s="6"/>
      <c r="R7" s="6"/>
      <c r="S7" s="6"/>
      <c r="T7" s="6"/>
    </row>
    <row r="8" spans="1:20" ht="25.5" customHeight="1" x14ac:dyDescent="0.25">
      <c r="A8" s="74">
        <v>45092</v>
      </c>
      <c r="B8" s="6"/>
      <c r="C8" s="6" t="s">
        <v>18</v>
      </c>
      <c r="D8" s="6">
        <f>15+2000+60+85+700+2000+70+105+30+30+1000+20+480</f>
        <v>6595</v>
      </c>
      <c r="E8" s="6" t="s">
        <v>250</v>
      </c>
      <c r="F8" s="6">
        <f t="shared" si="0"/>
        <v>33</v>
      </c>
      <c r="G8" s="6"/>
      <c r="H8" s="98">
        <v>33</v>
      </c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</row>
    <row r="9" spans="1:20" ht="25.5" customHeight="1" x14ac:dyDescent="0.25">
      <c r="A9" s="74">
        <v>45092</v>
      </c>
      <c r="B9" s="6"/>
      <c r="C9" s="6" t="s">
        <v>30</v>
      </c>
      <c r="D9" s="6">
        <v>0</v>
      </c>
      <c r="E9" s="6" t="s">
        <v>251</v>
      </c>
      <c r="F9" s="6">
        <f t="shared" si="0"/>
        <v>30</v>
      </c>
      <c r="G9" s="6"/>
      <c r="H9" s="98"/>
      <c r="I9" s="6"/>
      <c r="J9" s="6"/>
      <c r="K9" s="6"/>
      <c r="L9" s="6"/>
      <c r="M9" s="6"/>
      <c r="N9" s="6"/>
      <c r="O9" s="6"/>
      <c r="P9" s="6">
        <f>10+20</f>
        <v>30</v>
      </c>
      <c r="Q9" s="6"/>
      <c r="R9" s="6"/>
      <c r="S9" s="6"/>
      <c r="T9" s="6"/>
    </row>
    <row r="10" spans="1:20" ht="25.5" customHeight="1" x14ac:dyDescent="0.25">
      <c r="A10" s="74">
        <v>45092</v>
      </c>
      <c r="B10" s="6"/>
      <c r="C10" s="6" t="s">
        <v>46</v>
      </c>
      <c r="D10" s="6">
        <v>0</v>
      </c>
      <c r="E10" s="6" t="s">
        <v>252</v>
      </c>
      <c r="F10" s="6">
        <f t="shared" si="0"/>
        <v>10</v>
      </c>
      <c r="G10" s="6"/>
      <c r="H10" s="98"/>
      <c r="I10" s="6"/>
      <c r="J10" s="6"/>
      <c r="K10" s="6"/>
      <c r="L10" s="6"/>
      <c r="M10" s="6"/>
      <c r="N10" s="6"/>
      <c r="O10" s="6"/>
      <c r="P10" s="6">
        <v>10</v>
      </c>
      <c r="Q10" s="6"/>
      <c r="R10" s="6"/>
      <c r="S10" s="6"/>
      <c r="T10" s="6"/>
    </row>
    <row r="11" spans="1:20" ht="25.5" customHeight="1" x14ac:dyDescent="0.25">
      <c r="A11" s="74">
        <v>45092</v>
      </c>
      <c r="B11" s="6"/>
      <c r="C11" s="6"/>
      <c r="D11" s="6"/>
      <c r="E11" s="6" t="s">
        <v>73</v>
      </c>
      <c r="F11" s="6">
        <f t="shared" si="0"/>
        <v>340</v>
      </c>
      <c r="G11" s="6">
        <f>170+170</f>
        <v>340</v>
      </c>
      <c r="H11" s="98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</row>
    <row r="12" spans="1:20" ht="25.5" customHeight="1" x14ac:dyDescent="0.25">
      <c r="A12" s="74">
        <v>45092</v>
      </c>
      <c r="B12" s="6"/>
      <c r="C12" s="6"/>
      <c r="D12" s="6"/>
      <c r="E12" s="6" t="s">
        <v>76</v>
      </c>
      <c r="F12" s="6">
        <f t="shared" si="0"/>
        <v>150</v>
      </c>
      <c r="G12" s="6">
        <v>150</v>
      </c>
      <c r="H12" s="98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</row>
    <row r="13" spans="1:20" ht="25.5" customHeight="1" x14ac:dyDescent="0.25">
      <c r="A13" s="74">
        <v>45092</v>
      </c>
      <c r="B13" s="6"/>
      <c r="C13" s="6"/>
      <c r="D13" s="6"/>
      <c r="E13" s="6" t="s">
        <v>74</v>
      </c>
      <c r="F13" s="6">
        <f t="shared" si="0"/>
        <v>300</v>
      </c>
      <c r="G13" s="6">
        <f>150+150</f>
        <v>300</v>
      </c>
      <c r="H13" s="98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</row>
    <row r="14" spans="1:20" ht="25.5" customHeight="1" x14ac:dyDescent="0.25">
      <c r="A14" s="74">
        <v>45092</v>
      </c>
      <c r="B14" s="6"/>
      <c r="C14" s="6"/>
      <c r="D14" s="6"/>
      <c r="E14" s="6" t="s">
        <v>146</v>
      </c>
      <c r="F14" s="6">
        <f t="shared" si="0"/>
        <v>300</v>
      </c>
      <c r="G14" s="6">
        <f>150+150</f>
        <v>300</v>
      </c>
      <c r="H14" s="98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</row>
    <row r="15" spans="1:20" ht="25.5" customHeight="1" x14ac:dyDescent="0.25">
      <c r="A15" s="74">
        <v>45092</v>
      </c>
      <c r="B15" s="6"/>
      <c r="C15" s="6"/>
      <c r="D15" s="6"/>
      <c r="E15" s="6" t="s">
        <v>127</v>
      </c>
      <c r="F15" s="6">
        <f t="shared" si="0"/>
        <v>400</v>
      </c>
      <c r="G15" s="6">
        <f>200+200</f>
        <v>400</v>
      </c>
      <c r="H15" s="98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</row>
    <row r="16" spans="1:20" ht="25.5" customHeight="1" x14ac:dyDescent="0.25">
      <c r="A16" s="74">
        <v>45092</v>
      </c>
      <c r="B16" s="6"/>
      <c r="C16" s="6"/>
      <c r="D16" s="6"/>
      <c r="E16" s="6" t="s">
        <v>253</v>
      </c>
      <c r="F16" s="6">
        <f t="shared" si="0"/>
        <v>100</v>
      </c>
      <c r="G16" s="6">
        <f>50+50</f>
        <v>100</v>
      </c>
      <c r="H16" s="98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</row>
    <row r="17" spans="1:20" ht="25.5" customHeight="1" x14ac:dyDescent="0.25">
      <c r="A17" s="74">
        <v>45092</v>
      </c>
      <c r="B17" s="6"/>
      <c r="C17" s="6"/>
      <c r="D17" s="6"/>
      <c r="E17" s="6" t="s">
        <v>121</v>
      </c>
      <c r="F17" s="6">
        <f t="shared" si="0"/>
        <v>320</v>
      </c>
      <c r="G17" s="6">
        <f>160+160</f>
        <v>320</v>
      </c>
      <c r="H17" s="98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</row>
    <row r="18" spans="1:20" ht="25.5" customHeight="1" x14ac:dyDescent="0.25">
      <c r="A18" s="74"/>
      <c r="B18" s="6"/>
      <c r="C18" s="6"/>
      <c r="D18" s="6"/>
      <c r="E18" s="6" t="s">
        <v>77</v>
      </c>
      <c r="F18" s="6">
        <f t="shared" si="0"/>
        <v>200</v>
      </c>
      <c r="G18" s="6">
        <f>100+100</f>
        <v>200</v>
      </c>
      <c r="H18" s="98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</row>
    <row r="19" spans="1:20" ht="25.5" customHeight="1" x14ac:dyDescent="0.25">
      <c r="A19" s="74"/>
      <c r="B19" s="6"/>
      <c r="C19" s="6"/>
      <c r="D19" s="6"/>
      <c r="E19" s="6" t="s">
        <v>83</v>
      </c>
      <c r="F19" s="6">
        <f t="shared" si="0"/>
        <v>60</v>
      </c>
      <c r="G19" s="6">
        <f>30+30</f>
        <v>60</v>
      </c>
      <c r="H19" s="98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</row>
    <row r="20" spans="1:20" ht="25.5" customHeight="1" x14ac:dyDescent="0.25">
      <c r="A20" s="74"/>
      <c r="B20" s="6"/>
      <c r="C20" s="6"/>
      <c r="D20" s="6"/>
      <c r="E20" s="6" t="s">
        <v>120</v>
      </c>
      <c r="F20" s="6">
        <f t="shared" si="0"/>
        <v>100</v>
      </c>
      <c r="G20" s="6">
        <f>50+50</f>
        <v>100</v>
      </c>
      <c r="H20" s="98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</row>
    <row r="21" spans="1:20" ht="25.5" customHeight="1" x14ac:dyDescent="0.25">
      <c r="A21" s="74"/>
      <c r="B21" s="6"/>
      <c r="C21" s="6"/>
      <c r="D21" s="6"/>
      <c r="E21" s="6" t="s">
        <v>84</v>
      </c>
      <c r="F21" s="6">
        <f t="shared" si="0"/>
        <v>340</v>
      </c>
      <c r="G21" s="6">
        <f>170+170</f>
        <v>340</v>
      </c>
      <c r="H21" s="98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</row>
    <row r="22" spans="1:20" ht="25.5" customHeight="1" x14ac:dyDescent="0.25">
      <c r="A22" s="74"/>
      <c r="B22" s="6"/>
      <c r="C22" s="6"/>
      <c r="D22" s="6"/>
      <c r="E22" s="6" t="s">
        <v>88</v>
      </c>
      <c r="F22" s="6">
        <f t="shared" si="0"/>
        <v>300</v>
      </c>
      <c r="G22" s="6">
        <f>150+150</f>
        <v>300</v>
      </c>
      <c r="H22" s="98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</row>
    <row r="23" spans="1:20" ht="25.5" customHeight="1" x14ac:dyDescent="0.25">
      <c r="A23" s="74"/>
      <c r="B23" s="6"/>
      <c r="C23" s="6"/>
      <c r="D23" s="6"/>
      <c r="E23" s="6" t="s">
        <v>254</v>
      </c>
      <c r="F23" s="6">
        <f t="shared" si="0"/>
        <v>200</v>
      </c>
      <c r="G23" s="6">
        <f>100+100</f>
        <v>200</v>
      </c>
      <c r="H23" s="98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</row>
    <row r="24" spans="1:20" ht="25.5" customHeight="1" x14ac:dyDescent="0.25">
      <c r="A24" s="74"/>
      <c r="B24" s="6"/>
      <c r="C24" s="6"/>
      <c r="D24" s="6"/>
      <c r="E24" s="6" t="s">
        <v>237</v>
      </c>
      <c r="F24" s="6">
        <f t="shared" si="0"/>
        <v>240</v>
      </c>
      <c r="G24" s="6">
        <f>120+120</f>
        <v>240</v>
      </c>
      <c r="H24" s="98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</row>
    <row r="25" spans="1:20" ht="25.5" customHeight="1" x14ac:dyDescent="0.25">
      <c r="A25" s="74"/>
      <c r="B25" s="6"/>
      <c r="C25" s="6"/>
      <c r="D25" s="6"/>
      <c r="E25" s="6" t="s">
        <v>80</v>
      </c>
      <c r="F25" s="6">
        <f t="shared" si="0"/>
        <v>50</v>
      </c>
      <c r="G25" s="6">
        <v>50</v>
      </c>
      <c r="H25" s="98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</row>
    <row r="26" spans="1:20" ht="25.5" customHeight="1" x14ac:dyDescent="0.25">
      <c r="A26" s="74"/>
      <c r="B26" s="6"/>
      <c r="C26" s="6"/>
      <c r="D26" s="6"/>
      <c r="E26" s="6"/>
      <c r="F26" s="6">
        <f t="shared" si="0"/>
        <v>0</v>
      </c>
      <c r="G26" s="6"/>
      <c r="H26" s="98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</row>
    <row r="27" spans="1:20" ht="25.5" customHeight="1" x14ac:dyDescent="0.25">
      <c r="A27" s="74"/>
      <c r="B27" s="6"/>
      <c r="C27" s="6"/>
      <c r="D27" s="6"/>
      <c r="E27" s="6"/>
      <c r="F27" s="6">
        <f t="shared" si="0"/>
        <v>0</v>
      </c>
      <c r="G27" s="6"/>
      <c r="H27" s="98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</row>
    <row r="28" spans="1:20" ht="25.5" customHeight="1" x14ac:dyDescent="0.25">
      <c r="A28" s="74"/>
      <c r="B28" s="6"/>
      <c r="C28" s="6"/>
      <c r="D28" s="6"/>
      <c r="E28" s="6"/>
      <c r="F28" s="6">
        <f t="shared" si="0"/>
        <v>0</v>
      </c>
      <c r="G28" s="6"/>
      <c r="H28" s="98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</row>
    <row r="29" spans="1:20" ht="25.5" customHeight="1" x14ac:dyDescent="0.25">
      <c r="A29" s="74"/>
      <c r="B29" s="6"/>
      <c r="C29" s="6"/>
      <c r="D29" s="6"/>
      <c r="E29" s="6"/>
      <c r="F29" s="6">
        <f t="shared" si="0"/>
        <v>0</v>
      </c>
      <c r="G29" s="6"/>
      <c r="H29" s="98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</row>
    <row r="30" spans="1:20" ht="25.5" customHeight="1" x14ac:dyDescent="0.25">
      <c r="A30" s="74"/>
      <c r="B30" s="6"/>
      <c r="C30" s="6"/>
      <c r="D30" s="6"/>
      <c r="E30" s="6"/>
      <c r="F30" s="6">
        <f t="shared" si="0"/>
        <v>0</v>
      </c>
      <c r="G30" s="6"/>
      <c r="H30" s="98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</row>
    <row r="31" spans="1:20" ht="25.5" customHeight="1" x14ac:dyDescent="0.25">
      <c r="A31" s="74"/>
      <c r="B31" s="6"/>
      <c r="C31" s="6"/>
      <c r="D31" s="6"/>
      <c r="E31" s="6"/>
      <c r="F31" s="6">
        <f t="shared" si="0"/>
        <v>0</v>
      </c>
      <c r="G31" s="6"/>
      <c r="H31" s="98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</row>
    <row r="32" spans="1:20" ht="25.5" customHeight="1" x14ac:dyDescent="0.25">
      <c r="A32" s="74"/>
      <c r="B32" s="6"/>
      <c r="C32" s="6"/>
      <c r="D32" s="6"/>
      <c r="E32" s="6"/>
      <c r="F32" s="6">
        <f t="shared" si="0"/>
        <v>0</v>
      </c>
      <c r="G32" s="6"/>
      <c r="H32" s="98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</row>
    <row r="33" spans="1:20" ht="25.5" customHeight="1" x14ac:dyDescent="0.25">
      <c r="A33" s="74"/>
      <c r="B33" s="6"/>
      <c r="C33" s="6"/>
      <c r="D33" s="6"/>
      <c r="E33" s="6"/>
      <c r="F33" s="6">
        <f t="shared" si="0"/>
        <v>0</v>
      </c>
      <c r="G33" s="6"/>
      <c r="H33" s="98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</row>
    <row r="34" spans="1:20" ht="25.5" customHeight="1" x14ac:dyDescent="0.25">
      <c r="A34" s="74"/>
      <c r="B34" s="6"/>
      <c r="C34" s="6"/>
      <c r="D34" s="6"/>
      <c r="E34" s="6"/>
      <c r="F34" s="6">
        <f t="shared" si="0"/>
        <v>0</v>
      </c>
      <c r="G34" s="6"/>
      <c r="H34" s="98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</row>
    <row r="35" spans="1:20" ht="25.5" customHeight="1" x14ac:dyDescent="0.25">
      <c r="A35" s="74"/>
      <c r="B35" s="6"/>
      <c r="C35" s="6"/>
      <c r="D35" s="6"/>
      <c r="E35" s="6"/>
      <c r="F35" s="6">
        <f t="shared" si="0"/>
        <v>0</v>
      </c>
      <c r="G35" s="6"/>
      <c r="H35" s="98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</row>
    <row r="36" spans="1:20" ht="25.5" customHeight="1" x14ac:dyDescent="0.25">
      <c r="A36" s="74"/>
      <c r="B36" s="6"/>
      <c r="C36" s="6"/>
      <c r="D36" s="6"/>
      <c r="E36" s="6"/>
      <c r="F36" s="6">
        <f t="shared" si="0"/>
        <v>0</v>
      </c>
      <c r="G36" s="6"/>
      <c r="H36" s="98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</row>
    <row r="37" spans="1:20" ht="25.5" customHeight="1" x14ac:dyDescent="0.25">
      <c r="A37" s="74"/>
      <c r="B37" s="6"/>
      <c r="C37" s="6"/>
      <c r="D37" s="6"/>
      <c r="E37" s="6"/>
      <c r="F37" s="6">
        <f t="shared" si="0"/>
        <v>0</v>
      </c>
      <c r="G37" s="6"/>
      <c r="H37" s="98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</row>
    <row r="38" spans="1:20" ht="25.5" customHeight="1" x14ac:dyDescent="0.25">
      <c r="A38" s="74"/>
      <c r="B38" s="6"/>
      <c r="C38" s="6"/>
      <c r="D38" s="6"/>
      <c r="E38" s="6"/>
      <c r="F38" s="6">
        <f t="shared" si="0"/>
        <v>0</v>
      </c>
      <c r="G38" s="6"/>
      <c r="H38" s="98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</row>
    <row r="39" spans="1:20" ht="41.25" customHeight="1" x14ac:dyDescent="0.25">
      <c r="A39" s="165" t="s">
        <v>6</v>
      </c>
      <c r="B39" s="165"/>
      <c r="C39" s="165"/>
      <c r="D39" s="6">
        <f>SUM(D4:D38)</f>
        <v>14541</v>
      </c>
      <c r="E39" s="101"/>
      <c r="F39" s="6">
        <f>SUM(F4:F38)</f>
        <v>4143</v>
      </c>
      <c r="G39" s="6">
        <f t="shared" ref="G39:T39" si="1">SUM(G4:G38)</f>
        <v>3400</v>
      </c>
      <c r="H39" s="98">
        <f t="shared" si="1"/>
        <v>83</v>
      </c>
      <c r="I39" s="6">
        <f t="shared" si="1"/>
        <v>0</v>
      </c>
      <c r="J39" s="6">
        <f t="shared" si="1"/>
        <v>0</v>
      </c>
      <c r="K39" s="6">
        <f t="shared" si="1"/>
        <v>0</v>
      </c>
      <c r="L39" s="6">
        <f t="shared" si="1"/>
        <v>360</v>
      </c>
      <c r="M39" s="6">
        <f t="shared" si="1"/>
        <v>10</v>
      </c>
      <c r="N39" s="6">
        <f t="shared" si="1"/>
        <v>0</v>
      </c>
      <c r="O39" s="6">
        <f t="shared" si="1"/>
        <v>0</v>
      </c>
      <c r="P39" s="6">
        <f t="shared" si="1"/>
        <v>40</v>
      </c>
      <c r="Q39" s="6">
        <f t="shared" si="1"/>
        <v>0</v>
      </c>
      <c r="R39" s="6">
        <f t="shared" si="1"/>
        <v>250</v>
      </c>
      <c r="S39" s="6">
        <f t="shared" si="1"/>
        <v>0</v>
      </c>
      <c r="T39" s="6">
        <f t="shared" si="1"/>
        <v>0</v>
      </c>
    </row>
    <row r="40" spans="1:20" ht="15.75" thickBot="1" x14ac:dyDescent="0.3"/>
    <row r="41" spans="1:20" ht="30.75" customHeight="1" thickTop="1" thickBot="1" x14ac:dyDescent="0.3">
      <c r="E41" s="2" t="s">
        <v>26</v>
      </c>
      <c r="F41" s="3" t="s">
        <v>27</v>
      </c>
      <c r="G41" s="4" t="s">
        <v>28</v>
      </c>
    </row>
    <row r="42" spans="1:20" ht="48.75" customHeight="1" thickTop="1" x14ac:dyDescent="0.25">
      <c r="A42" s="2" t="s">
        <v>19</v>
      </c>
      <c r="B42" s="6">
        <f>+D39</f>
        <v>14541</v>
      </c>
      <c r="C42" s="7"/>
      <c r="E42" s="5">
        <v>200</v>
      </c>
      <c r="F42" s="6">
        <v>6</v>
      </c>
      <c r="G42" s="7">
        <f>+E42*F42</f>
        <v>1200</v>
      </c>
    </row>
    <row r="43" spans="1:20" ht="46.5" customHeight="1" x14ac:dyDescent="0.25">
      <c r="A43" s="9" t="s">
        <v>20</v>
      </c>
      <c r="B43" s="6">
        <f>D8</f>
        <v>6595</v>
      </c>
      <c r="C43" s="7"/>
      <c r="E43" s="5">
        <v>100</v>
      </c>
      <c r="F43" s="6">
        <v>22</v>
      </c>
      <c r="G43" s="7">
        <f t="shared" ref="G43:G45" si="2">+E43*F43</f>
        <v>2200</v>
      </c>
      <c r="J43" s="170" t="s">
        <v>255</v>
      </c>
      <c r="K43" s="170"/>
      <c r="L43" s="170"/>
      <c r="M43" s="170"/>
      <c r="N43" s="170"/>
      <c r="O43" s="170"/>
    </row>
    <row r="44" spans="1:20" ht="46.5" customHeight="1" x14ac:dyDescent="0.25">
      <c r="A44" s="9" t="s">
        <v>21</v>
      </c>
      <c r="B44" s="6">
        <f>F39</f>
        <v>4143</v>
      </c>
      <c r="C44" s="7"/>
      <c r="E44" s="5">
        <v>50</v>
      </c>
      <c r="F44" s="6">
        <v>7</v>
      </c>
      <c r="G44" s="7">
        <f t="shared" si="2"/>
        <v>350</v>
      </c>
      <c r="J44" s="170"/>
      <c r="K44" s="170"/>
      <c r="L44" s="170"/>
      <c r="M44" s="170"/>
      <c r="N44" s="170"/>
      <c r="O44" s="170"/>
    </row>
    <row r="45" spans="1:20" ht="51.75" customHeight="1" x14ac:dyDescent="0.25">
      <c r="A45" s="9" t="s">
        <v>22</v>
      </c>
      <c r="B45" s="11">
        <f>+B42-B43-B44</f>
        <v>3803</v>
      </c>
      <c r="C45" s="12"/>
      <c r="E45" s="5">
        <v>20</v>
      </c>
      <c r="F45" s="6">
        <v>1</v>
      </c>
      <c r="G45" s="7">
        <f t="shared" si="2"/>
        <v>20</v>
      </c>
      <c r="J45" s="170"/>
      <c r="K45" s="170"/>
      <c r="L45" s="170"/>
      <c r="M45" s="170"/>
      <c r="N45" s="170"/>
      <c r="O45" s="170"/>
    </row>
    <row r="46" spans="1:20" ht="46.5" customHeight="1" x14ac:dyDescent="0.25">
      <c r="A46" s="9" t="s">
        <v>23</v>
      </c>
      <c r="B46" s="11">
        <f>G49</f>
        <v>3803</v>
      </c>
      <c r="C46" s="12"/>
      <c r="D46" s="1"/>
      <c r="E46" s="5">
        <v>10</v>
      </c>
      <c r="F46" s="6">
        <v>3</v>
      </c>
      <c r="G46" s="7">
        <f>+E46*F46</f>
        <v>30</v>
      </c>
    </row>
    <row r="47" spans="1:20" ht="34.5" customHeight="1" x14ac:dyDescent="0.25">
      <c r="A47" s="9" t="s">
        <v>24</v>
      </c>
      <c r="B47" s="11">
        <f>IF(B45&lt;B46,B46-B45,0)</f>
        <v>0</v>
      </c>
      <c r="C47" s="12"/>
      <c r="E47" s="5">
        <v>5</v>
      </c>
      <c r="F47" s="6"/>
      <c r="G47" s="7">
        <f>+E47*F47</f>
        <v>0</v>
      </c>
    </row>
    <row r="48" spans="1:20" ht="36.75" customHeight="1" x14ac:dyDescent="0.25">
      <c r="A48" s="9" t="s">
        <v>7</v>
      </c>
      <c r="B48" s="11">
        <f>IF(B45&gt;B46,B45-B46,0)</f>
        <v>0</v>
      </c>
      <c r="C48" s="12"/>
      <c r="E48" s="5">
        <v>1</v>
      </c>
      <c r="F48" s="6">
        <v>3</v>
      </c>
      <c r="G48" s="7">
        <f>+E48*F48</f>
        <v>3</v>
      </c>
    </row>
    <row r="49" spans="1:7" ht="30" customHeight="1" thickBot="1" x14ac:dyDescent="0.35">
      <c r="A49" s="10" t="s">
        <v>29</v>
      </c>
      <c r="B49" s="13" t="b">
        <f>B45=B46</f>
        <v>1</v>
      </c>
      <c r="C49" s="14"/>
      <c r="E49" s="159" t="s">
        <v>25</v>
      </c>
      <c r="F49" s="160"/>
      <c r="G49" s="8">
        <f>SUM(G42:G48)</f>
        <v>3803</v>
      </c>
    </row>
    <row r="50" spans="1:7" ht="15.75" thickTop="1" x14ac:dyDescent="0.25"/>
  </sheetData>
  <mergeCells count="4">
    <mergeCell ref="E49:F49"/>
    <mergeCell ref="E2:L2"/>
    <mergeCell ref="A39:C39"/>
    <mergeCell ref="J43:O45"/>
  </mergeCells>
  <printOptions horizontalCentered="1" verticalCentered="1"/>
  <pageMargins left="0.25" right="0.25" top="0.75" bottom="0.75" header="0.3" footer="0.3"/>
  <pageSetup paperSize="9" scale="36" orientation="landscape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3"/>
  <sheetViews>
    <sheetView rightToLeft="1" topLeftCell="A5" zoomScale="77" zoomScaleNormal="77" workbookViewId="0">
      <selection activeCell="J58" sqref="J58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4.14062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6" bestFit="1" customWidth="1"/>
    <col min="16" max="16" width="15.7109375" bestFit="1" customWidth="1"/>
    <col min="18" max="18" width="15.85546875" bestFit="1" customWidth="1"/>
    <col min="19" max="19" width="14" customWidth="1"/>
    <col min="20" max="20" width="10.140625" customWidth="1"/>
  </cols>
  <sheetData>
    <row r="1" spans="1:20" ht="15.75" hidden="1" thickBot="1" x14ac:dyDescent="0.3"/>
    <row r="2" spans="1:20" ht="25.5" customHeight="1" thickBot="1" x14ac:dyDescent="0.3">
      <c r="A2" s="50" t="s">
        <v>0</v>
      </c>
      <c r="B2" s="51"/>
      <c r="C2" s="51"/>
      <c r="D2" s="52"/>
      <c r="E2" s="157">
        <f ca="1">TODAY()</f>
        <v>45118</v>
      </c>
      <c r="F2" s="158"/>
      <c r="G2" s="158"/>
      <c r="H2" s="158"/>
      <c r="I2" s="158"/>
      <c r="J2" s="158"/>
      <c r="K2" s="158"/>
      <c r="L2" s="158"/>
      <c r="M2" s="53"/>
      <c r="N2" s="53"/>
      <c r="O2" s="53"/>
      <c r="P2" s="53"/>
      <c r="Q2" s="53"/>
      <c r="R2" s="53"/>
      <c r="S2" s="53"/>
      <c r="T2" s="53"/>
    </row>
    <row r="3" spans="1:20" ht="36.75" customHeight="1" x14ac:dyDescent="0.25">
      <c r="A3" s="54" t="s">
        <v>4</v>
      </c>
      <c r="B3" s="54" t="s">
        <v>3</v>
      </c>
      <c r="C3" s="54" t="s">
        <v>1</v>
      </c>
      <c r="D3" s="54" t="s">
        <v>2</v>
      </c>
      <c r="E3" s="54" t="s">
        <v>1</v>
      </c>
      <c r="F3" s="54" t="s">
        <v>13</v>
      </c>
      <c r="G3" s="54" t="s">
        <v>5</v>
      </c>
      <c r="H3" s="57" t="s">
        <v>8</v>
      </c>
      <c r="I3" s="18" t="s">
        <v>9</v>
      </c>
      <c r="J3" s="18" t="s">
        <v>10</v>
      </c>
      <c r="K3" s="18" t="s">
        <v>11</v>
      </c>
      <c r="L3" s="18" t="s">
        <v>12</v>
      </c>
      <c r="M3" s="18" t="s">
        <v>31</v>
      </c>
      <c r="N3" s="18" t="s">
        <v>45</v>
      </c>
      <c r="O3" s="18" t="s">
        <v>32</v>
      </c>
      <c r="P3" s="18" t="s">
        <v>34</v>
      </c>
      <c r="Q3" s="18" t="s">
        <v>35</v>
      </c>
      <c r="R3" s="18" t="s">
        <v>39</v>
      </c>
      <c r="S3" s="18" t="s">
        <v>38</v>
      </c>
      <c r="T3" s="19" t="s">
        <v>40</v>
      </c>
    </row>
    <row r="4" spans="1:20" ht="25.5" customHeight="1" x14ac:dyDescent="0.25">
      <c r="A4" s="59">
        <v>45094</v>
      </c>
      <c r="B4" s="15"/>
      <c r="C4" s="15" t="s">
        <v>14</v>
      </c>
      <c r="D4" s="15">
        <f>398+82</f>
        <v>480</v>
      </c>
      <c r="E4" s="15" t="s">
        <v>259</v>
      </c>
      <c r="F4" s="15">
        <f>SUM(G4:T4)</f>
        <v>75</v>
      </c>
      <c r="G4" s="15"/>
      <c r="H4" s="56">
        <v>75</v>
      </c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</row>
    <row r="5" spans="1:20" ht="25.5" customHeight="1" x14ac:dyDescent="0.25">
      <c r="A5" s="59">
        <v>45094</v>
      </c>
      <c r="B5" s="15"/>
      <c r="C5" s="15" t="s">
        <v>15</v>
      </c>
      <c r="D5" s="15">
        <f>1135+731</f>
        <v>1866</v>
      </c>
      <c r="E5" s="15" t="s">
        <v>260</v>
      </c>
      <c r="F5" s="15">
        <f t="shared" ref="F5:F38" si="0">SUM(G5:T5)</f>
        <v>20</v>
      </c>
      <c r="G5" s="15"/>
      <c r="H5" s="56"/>
      <c r="I5" s="15"/>
      <c r="J5" s="15"/>
      <c r="K5" s="15"/>
      <c r="L5" s="15"/>
      <c r="M5" s="15"/>
      <c r="N5" s="15"/>
      <c r="O5" s="15"/>
      <c r="P5" s="15">
        <f>10+10</f>
        <v>20</v>
      </c>
      <c r="Q5" s="15"/>
      <c r="R5" s="15"/>
      <c r="S5" s="15"/>
      <c r="T5" s="15"/>
    </row>
    <row r="6" spans="1:20" ht="25.5" customHeight="1" x14ac:dyDescent="0.25">
      <c r="A6" s="59">
        <v>45094</v>
      </c>
      <c r="B6" s="15"/>
      <c r="C6" s="15" t="s">
        <v>16</v>
      </c>
      <c r="D6" s="15">
        <v>0</v>
      </c>
      <c r="E6" s="15" t="s">
        <v>68</v>
      </c>
      <c r="F6" s="15">
        <f t="shared" si="0"/>
        <v>135</v>
      </c>
      <c r="G6" s="15"/>
      <c r="H6" s="56"/>
      <c r="I6" s="15"/>
      <c r="J6" s="15"/>
      <c r="K6" s="15"/>
      <c r="L6" s="15">
        <f>90+45</f>
        <v>135</v>
      </c>
      <c r="M6" s="15"/>
      <c r="N6" s="15"/>
      <c r="O6" s="15"/>
      <c r="P6" s="15"/>
      <c r="Q6" s="15"/>
      <c r="R6" s="15"/>
      <c r="S6" s="15"/>
      <c r="T6" s="15"/>
    </row>
    <row r="7" spans="1:20" ht="25.5" customHeight="1" x14ac:dyDescent="0.25">
      <c r="A7" s="59">
        <v>45094</v>
      </c>
      <c r="B7" s="15"/>
      <c r="C7" s="15" t="s">
        <v>17</v>
      </c>
      <c r="D7" s="15">
        <f>255+290</f>
        <v>545</v>
      </c>
      <c r="E7" s="15" t="s">
        <v>112</v>
      </c>
      <c r="F7" s="15">
        <f t="shared" si="0"/>
        <v>400</v>
      </c>
      <c r="G7" s="15"/>
      <c r="H7" s="56"/>
      <c r="I7" s="15"/>
      <c r="J7" s="15"/>
      <c r="K7" s="15"/>
      <c r="L7" s="15"/>
      <c r="M7" s="15"/>
      <c r="N7" s="15"/>
      <c r="O7" s="15"/>
      <c r="P7" s="15"/>
      <c r="Q7" s="15"/>
      <c r="R7" s="15">
        <v>400</v>
      </c>
      <c r="S7" s="15"/>
      <c r="T7" s="15"/>
    </row>
    <row r="8" spans="1:20" ht="25.5" customHeight="1" x14ac:dyDescent="0.25">
      <c r="A8" s="59">
        <v>45094</v>
      </c>
      <c r="B8" s="15"/>
      <c r="C8" s="15" t="s">
        <v>18</v>
      </c>
      <c r="D8" s="15">
        <f>22+29+40+50+25+172+20+25</f>
        <v>383</v>
      </c>
      <c r="E8" s="15" t="s">
        <v>114</v>
      </c>
      <c r="F8" s="15">
        <f t="shared" si="0"/>
        <v>10</v>
      </c>
      <c r="G8" s="15"/>
      <c r="H8" s="56"/>
      <c r="I8" s="15"/>
      <c r="J8" s="15"/>
      <c r="K8" s="15"/>
      <c r="L8" s="15"/>
      <c r="M8" s="15"/>
      <c r="N8" s="15"/>
      <c r="O8" s="15"/>
      <c r="P8" s="15">
        <v>10</v>
      </c>
      <c r="Q8" s="15"/>
      <c r="R8" s="15"/>
      <c r="S8" s="15"/>
      <c r="T8" s="15"/>
    </row>
    <row r="9" spans="1:20" ht="25.5" customHeight="1" x14ac:dyDescent="0.25">
      <c r="A9" s="59">
        <v>45094</v>
      </c>
      <c r="B9" s="15"/>
      <c r="C9" s="15" t="s">
        <v>30</v>
      </c>
      <c r="D9" s="15">
        <v>0</v>
      </c>
      <c r="E9" s="15" t="s">
        <v>261</v>
      </c>
      <c r="F9" s="15">
        <f t="shared" si="0"/>
        <v>10</v>
      </c>
      <c r="G9" s="15"/>
      <c r="H9" s="56"/>
      <c r="I9" s="15"/>
      <c r="J9" s="15"/>
      <c r="K9" s="15"/>
      <c r="L9" s="15"/>
      <c r="M9" s="15">
        <v>10</v>
      </c>
      <c r="N9" s="15"/>
      <c r="O9" s="15"/>
      <c r="P9" s="15"/>
      <c r="Q9" s="15"/>
      <c r="R9" s="15"/>
      <c r="S9" s="15"/>
      <c r="T9" s="15"/>
    </row>
    <row r="10" spans="1:20" ht="25.5" customHeight="1" x14ac:dyDescent="0.25">
      <c r="A10" s="59">
        <v>45094</v>
      </c>
      <c r="B10" s="15"/>
      <c r="C10" s="15" t="s">
        <v>46</v>
      </c>
      <c r="D10" s="15">
        <v>0</v>
      </c>
      <c r="E10" s="15" t="s">
        <v>262</v>
      </c>
      <c r="F10" s="15">
        <f t="shared" si="0"/>
        <v>45</v>
      </c>
      <c r="G10" s="15"/>
      <c r="H10" s="56"/>
      <c r="I10" s="15"/>
      <c r="J10" s="15"/>
      <c r="K10" s="15"/>
      <c r="L10" s="15"/>
      <c r="M10" s="15"/>
      <c r="N10" s="15">
        <v>45</v>
      </c>
      <c r="O10" s="15"/>
      <c r="P10" s="15"/>
      <c r="Q10" s="15"/>
      <c r="R10" s="15"/>
      <c r="S10" s="15"/>
      <c r="T10" s="15"/>
    </row>
    <row r="11" spans="1:20" ht="25.5" customHeight="1" x14ac:dyDescent="0.25">
      <c r="A11" s="59">
        <v>45094</v>
      </c>
      <c r="B11" s="15"/>
      <c r="C11" s="15"/>
      <c r="D11" s="15"/>
      <c r="E11" s="15" t="s">
        <v>117</v>
      </c>
      <c r="F11" s="15">
        <f t="shared" si="0"/>
        <v>150</v>
      </c>
      <c r="G11" s="15">
        <v>150</v>
      </c>
      <c r="H11" s="56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</row>
    <row r="12" spans="1:20" ht="25.5" customHeight="1" x14ac:dyDescent="0.25">
      <c r="A12" s="59">
        <v>45094</v>
      </c>
      <c r="B12" s="15"/>
      <c r="C12" s="15"/>
      <c r="D12" s="15"/>
      <c r="E12" s="15" t="s">
        <v>79</v>
      </c>
      <c r="F12" s="15">
        <f t="shared" si="0"/>
        <v>50</v>
      </c>
      <c r="G12" s="15">
        <v>50</v>
      </c>
      <c r="H12" s="56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</row>
    <row r="13" spans="1:20" ht="25.5" customHeight="1" x14ac:dyDescent="0.25">
      <c r="A13" s="59">
        <v>45094</v>
      </c>
      <c r="B13" s="15"/>
      <c r="C13" s="15"/>
      <c r="D13" s="15"/>
      <c r="E13" s="15" t="s">
        <v>121</v>
      </c>
      <c r="F13" s="15">
        <f t="shared" si="0"/>
        <v>160</v>
      </c>
      <c r="G13" s="15">
        <v>160</v>
      </c>
      <c r="H13" s="56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ht="25.5" customHeight="1" x14ac:dyDescent="0.25">
      <c r="A14" s="59">
        <v>45094</v>
      </c>
      <c r="B14" s="15"/>
      <c r="C14" s="15"/>
      <c r="D14" s="15"/>
      <c r="E14" s="15" t="s">
        <v>146</v>
      </c>
      <c r="F14" s="15">
        <f t="shared" si="0"/>
        <v>150</v>
      </c>
      <c r="G14" s="15">
        <v>150</v>
      </c>
      <c r="H14" s="56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ht="25.5" customHeight="1" x14ac:dyDescent="0.25">
      <c r="A15" s="59">
        <v>45094</v>
      </c>
      <c r="B15" s="15"/>
      <c r="C15" s="15"/>
      <c r="D15" s="15"/>
      <c r="E15" s="15" t="s">
        <v>118</v>
      </c>
      <c r="F15" s="15">
        <f t="shared" si="0"/>
        <v>170</v>
      </c>
      <c r="G15" s="15">
        <v>170</v>
      </c>
      <c r="H15" s="56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ht="25.5" customHeight="1" x14ac:dyDescent="0.25">
      <c r="A16" s="59">
        <v>45094</v>
      </c>
      <c r="B16" s="15"/>
      <c r="C16" s="15"/>
      <c r="D16" s="15"/>
      <c r="E16" s="15" t="s">
        <v>77</v>
      </c>
      <c r="F16" s="15">
        <f t="shared" si="0"/>
        <v>100</v>
      </c>
      <c r="G16" s="15">
        <v>100</v>
      </c>
      <c r="H16" s="56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</row>
    <row r="17" spans="1:20" ht="25.5" customHeight="1" x14ac:dyDescent="0.25">
      <c r="A17" s="59"/>
      <c r="B17" s="15"/>
      <c r="C17" s="15"/>
      <c r="D17" s="15"/>
      <c r="E17" s="15" t="s">
        <v>86</v>
      </c>
      <c r="F17" s="15">
        <f t="shared" si="0"/>
        <v>110</v>
      </c>
      <c r="G17" s="15">
        <v>110</v>
      </c>
      <c r="H17" s="56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</row>
    <row r="18" spans="1:20" ht="25.5" customHeight="1" x14ac:dyDescent="0.25">
      <c r="A18" s="59"/>
      <c r="B18" s="15"/>
      <c r="C18" s="15"/>
      <c r="D18" s="15"/>
      <c r="E18" s="15" t="s">
        <v>127</v>
      </c>
      <c r="F18" s="15">
        <f t="shared" si="0"/>
        <v>200</v>
      </c>
      <c r="G18" s="15">
        <v>200</v>
      </c>
      <c r="H18" s="56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ht="25.5" customHeight="1" x14ac:dyDescent="0.25">
      <c r="A19" s="59"/>
      <c r="B19" s="15"/>
      <c r="C19" s="15"/>
      <c r="D19" s="15"/>
      <c r="E19" s="15" t="s">
        <v>120</v>
      </c>
      <c r="F19" s="15">
        <f t="shared" si="0"/>
        <v>50</v>
      </c>
      <c r="G19" s="15">
        <v>50</v>
      </c>
      <c r="H19" s="56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ht="25.5" customHeight="1" x14ac:dyDescent="0.25">
      <c r="A20" s="59"/>
      <c r="B20" s="15"/>
      <c r="C20" s="15"/>
      <c r="D20" s="15"/>
      <c r="E20" s="15" t="s">
        <v>88</v>
      </c>
      <c r="F20" s="15">
        <f t="shared" si="0"/>
        <v>150</v>
      </c>
      <c r="G20" s="15">
        <v>150</v>
      </c>
      <c r="H20" s="56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ht="25.5" customHeight="1" x14ac:dyDescent="0.25">
      <c r="A21" s="59"/>
      <c r="B21" s="15"/>
      <c r="C21" s="15"/>
      <c r="D21" s="15"/>
      <c r="E21" s="15" t="s">
        <v>254</v>
      </c>
      <c r="F21" s="15">
        <f t="shared" si="0"/>
        <v>100</v>
      </c>
      <c r="G21" s="15">
        <v>100</v>
      </c>
      <c r="H21" s="56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25.5" customHeight="1" x14ac:dyDescent="0.25">
      <c r="A22" s="59"/>
      <c r="B22" s="15"/>
      <c r="C22" s="15"/>
      <c r="D22" s="15"/>
      <c r="E22" s="15" t="s">
        <v>80</v>
      </c>
      <c r="F22" s="15">
        <f t="shared" si="0"/>
        <v>40</v>
      </c>
      <c r="G22" s="15">
        <v>40</v>
      </c>
      <c r="H22" s="56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</row>
    <row r="23" spans="1:20" ht="25.5" customHeight="1" x14ac:dyDescent="0.25">
      <c r="A23" s="59"/>
      <c r="B23" s="15"/>
      <c r="C23" s="15"/>
      <c r="D23" s="15"/>
      <c r="E23" s="15" t="s">
        <v>83</v>
      </c>
      <c r="F23" s="15">
        <f t="shared" si="0"/>
        <v>30</v>
      </c>
      <c r="G23" s="15">
        <v>30</v>
      </c>
      <c r="H23" s="56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</row>
    <row r="24" spans="1:20" ht="25.5" customHeight="1" x14ac:dyDescent="0.25">
      <c r="A24" s="59"/>
      <c r="B24" s="15"/>
      <c r="C24" s="15"/>
      <c r="D24" s="15"/>
      <c r="E24" s="15"/>
      <c r="F24" s="15">
        <f t="shared" si="0"/>
        <v>0</v>
      </c>
      <c r="G24" s="15"/>
      <c r="H24" s="56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</row>
    <row r="25" spans="1:20" ht="25.5" customHeight="1" x14ac:dyDescent="0.25">
      <c r="A25" s="59"/>
      <c r="B25" s="15"/>
      <c r="C25" s="15"/>
      <c r="D25" s="15"/>
      <c r="E25" s="15"/>
      <c r="F25" s="15">
        <f t="shared" si="0"/>
        <v>0</v>
      </c>
      <c r="G25" s="15"/>
      <c r="H25" s="56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</row>
    <row r="26" spans="1:20" ht="25.5" customHeight="1" x14ac:dyDescent="0.25">
      <c r="A26" s="59"/>
      <c r="B26" s="15"/>
      <c r="C26" s="15"/>
      <c r="D26" s="15"/>
      <c r="E26" s="15"/>
      <c r="F26" s="15">
        <f t="shared" si="0"/>
        <v>0</v>
      </c>
      <c r="G26" s="15"/>
      <c r="H26" s="56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</row>
    <row r="27" spans="1:20" ht="25.5" customHeight="1" x14ac:dyDescent="0.25">
      <c r="A27" s="59"/>
      <c r="B27" s="15"/>
      <c r="C27" s="15"/>
      <c r="D27" s="15"/>
      <c r="E27" s="15"/>
      <c r="F27" s="15">
        <f t="shared" si="0"/>
        <v>0</v>
      </c>
      <c r="G27" s="15"/>
      <c r="H27" s="56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</row>
    <row r="28" spans="1:20" ht="25.5" customHeight="1" x14ac:dyDescent="0.25">
      <c r="A28" s="59"/>
      <c r="B28" s="15"/>
      <c r="C28" s="15"/>
      <c r="D28" s="15"/>
      <c r="E28" s="15"/>
      <c r="F28" s="15">
        <f t="shared" si="0"/>
        <v>0</v>
      </c>
      <c r="G28" s="15"/>
      <c r="H28" s="56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</row>
    <row r="29" spans="1:20" ht="25.5" customHeight="1" x14ac:dyDescent="0.25">
      <c r="A29" s="59"/>
      <c r="B29" s="15"/>
      <c r="C29" s="15"/>
      <c r="D29" s="15"/>
      <c r="E29" s="15"/>
      <c r="F29" s="15">
        <f t="shared" si="0"/>
        <v>0</v>
      </c>
      <c r="G29" s="15"/>
      <c r="H29" s="56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</row>
    <row r="30" spans="1:20" ht="25.5" customHeight="1" x14ac:dyDescent="0.25">
      <c r="A30" s="59"/>
      <c r="B30" s="15"/>
      <c r="C30" s="15"/>
      <c r="D30" s="15"/>
      <c r="E30" s="15"/>
      <c r="F30" s="15">
        <f t="shared" si="0"/>
        <v>0</v>
      </c>
      <c r="G30" s="15"/>
      <c r="H30" s="56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</row>
    <row r="31" spans="1:20" ht="25.5" customHeight="1" x14ac:dyDescent="0.25">
      <c r="A31" s="59"/>
      <c r="B31" s="15"/>
      <c r="C31" s="15"/>
      <c r="D31" s="15"/>
      <c r="E31" s="15"/>
      <c r="F31" s="15">
        <f t="shared" si="0"/>
        <v>0</v>
      </c>
      <c r="G31" s="15"/>
      <c r="H31" s="56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</row>
    <row r="32" spans="1:20" ht="25.5" customHeight="1" x14ac:dyDescent="0.25">
      <c r="A32" s="59"/>
      <c r="B32" s="15"/>
      <c r="C32" s="15"/>
      <c r="D32" s="15"/>
      <c r="E32" s="15"/>
      <c r="F32" s="15">
        <f t="shared" si="0"/>
        <v>0</v>
      </c>
      <c r="G32" s="15"/>
      <c r="H32" s="56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</row>
    <row r="33" spans="1:20" ht="25.5" customHeight="1" x14ac:dyDescent="0.25">
      <c r="A33" s="59"/>
      <c r="B33" s="15"/>
      <c r="C33" s="15"/>
      <c r="D33" s="15"/>
      <c r="E33" s="15"/>
      <c r="F33" s="15">
        <f t="shared" si="0"/>
        <v>0</v>
      </c>
      <c r="G33" s="15"/>
      <c r="H33" s="56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</row>
    <row r="34" spans="1:20" ht="25.5" customHeight="1" x14ac:dyDescent="0.25">
      <c r="A34" s="59"/>
      <c r="B34" s="15"/>
      <c r="C34" s="15"/>
      <c r="D34" s="15"/>
      <c r="E34" s="15"/>
      <c r="F34" s="15">
        <f t="shared" si="0"/>
        <v>0</v>
      </c>
      <c r="G34" s="15"/>
      <c r="H34" s="56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</row>
    <row r="35" spans="1:20" ht="25.5" customHeight="1" x14ac:dyDescent="0.25">
      <c r="A35" s="59"/>
      <c r="B35" s="15"/>
      <c r="C35" s="15"/>
      <c r="D35" s="15"/>
      <c r="E35" s="15"/>
      <c r="F35" s="15">
        <f t="shared" si="0"/>
        <v>0</v>
      </c>
      <c r="G35" s="15"/>
      <c r="H35" s="56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</row>
    <row r="36" spans="1:20" ht="25.5" customHeight="1" x14ac:dyDescent="0.25">
      <c r="A36" s="59"/>
      <c r="B36" s="15"/>
      <c r="C36" s="15"/>
      <c r="D36" s="15"/>
      <c r="E36" s="15"/>
      <c r="F36" s="15">
        <f t="shared" si="0"/>
        <v>0</v>
      </c>
      <c r="G36" s="15"/>
      <c r="H36" s="56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</row>
    <row r="37" spans="1:20" ht="25.5" customHeight="1" x14ac:dyDescent="0.25">
      <c r="A37" s="59"/>
      <c r="B37" s="15"/>
      <c r="C37" s="15"/>
      <c r="D37" s="15"/>
      <c r="E37" s="15"/>
      <c r="F37" s="15">
        <f t="shared" si="0"/>
        <v>0</v>
      </c>
      <c r="G37" s="15"/>
      <c r="H37" s="56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</row>
    <row r="38" spans="1:20" ht="25.5" customHeight="1" x14ac:dyDescent="0.25">
      <c r="A38" s="59"/>
      <c r="B38" s="15"/>
      <c r="C38" s="15"/>
      <c r="D38" s="15"/>
      <c r="E38" s="15"/>
      <c r="F38" s="15">
        <f t="shared" si="0"/>
        <v>0</v>
      </c>
      <c r="G38" s="15"/>
      <c r="H38" s="56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</row>
    <row r="39" spans="1:20" ht="41.25" customHeight="1" x14ac:dyDescent="0.25">
      <c r="A39" s="161" t="s">
        <v>6</v>
      </c>
      <c r="B39" s="161"/>
      <c r="C39" s="161"/>
      <c r="D39" s="15">
        <f>SUM(D4:D38)</f>
        <v>3274</v>
      </c>
      <c r="E39" s="55"/>
      <c r="F39" s="15">
        <f>SUM(F4:F38)</f>
        <v>2155</v>
      </c>
      <c r="G39" s="15">
        <f t="shared" ref="G39:T39" si="1">SUM(G4:G38)</f>
        <v>1460</v>
      </c>
      <c r="H39" s="56">
        <f t="shared" si="1"/>
        <v>75</v>
      </c>
      <c r="I39" s="15">
        <f t="shared" si="1"/>
        <v>0</v>
      </c>
      <c r="J39" s="15">
        <f t="shared" si="1"/>
        <v>0</v>
      </c>
      <c r="K39" s="15">
        <f t="shared" si="1"/>
        <v>0</v>
      </c>
      <c r="L39" s="15">
        <f t="shared" si="1"/>
        <v>135</v>
      </c>
      <c r="M39" s="15">
        <f t="shared" si="1"/>
        <v>10</v>
      </c>
      <c r="N39" s="15">
        <f t="shared" si="1"/>
        <v>45</v>
      </c>
      <c r="O39" s="15">
        <f t="shared" si="1"/>
        <v>0</v>
      </c>
      <c r="P39" s="15">
        <f t="shared" si="1"/>
        <v>30</v>
      </c>
      <c r="Q39" s="15">
        <f t="shared" si="1"/>
        <v>0</v>
      </c>
      <c r="R39" s="15">
        <f t="shared" si="1"/>
        <v>400</v>
      </c>
      <c r="S39" s="15">
        <f t="shared" si="1"/>
        <v>0</v>
      </c>
      <c r="T39" s="15">
        <f t="shared" si="1"/>
        <v>0</v>
      </c>
    </row>
    <row r="40" spans="1:20" ht="15.75" thickBot="1" x14ac:dyDescent="0.3"/>
    <row r="41" spans="1:20" ht="30.75" customHeight="1" thickTop="1" thickBot="1" x14ac:dyDescent="0.3">
      <c r="E41" s="2" t="s">
        <v>26</v>
      </c>
      <c r="F41" s="3" t="s">
        <v>27</v>
      </c>
      <c r="G41" s="4" t="s">
        <v>28</v>
      </c>
    </row>
    <row r="42" spans="1:20" ht="48.75" customHeight="1" thickTop="1" x14ac:dyDescent="0.25">
      <c r="A42" s="2" t="s">
        <v>19</v>
      </c>
      <c r="B42" s="6">
        <f>+D39</f>
        <v>3274</v>
      </c>
      <c r="C42" s="7"/>
      <c r="E42" s="5">
        <v>200</v>
      </c>
      <c r="F42" s="6">
        <v>3</v>
      </c>
      <c r="G42" s="7">
        <f>+E42*F42</f>
        <v>600</v>
      </c>
    </row>
    <row r="43" spans="1:20" ht="46.5" customHeight="1" x14ac:dyDescent="0.25">
      <c r="A43" s="9" t="s">
        <v>20</v>
      </c>
      <c r="B43" s="6">
        <f>D8</f>
        <v>383</v>
      </c>
      <c r="C43" s="7"/>
      <c r="E43" s="5">
        <v>100</v>
      </c>
      <c r="F43" s="6">
        <v>1</v>
      </c>
      <c r="G43" s="7">
        <f t="shared" ref="G43:G45" si="2">+E43*F43</f>
        <v>100</v>
      </c>
    </row>
    <row r="44" spans="1:20" ht="46.5" customHeight="1" x14ac:dyDescent="0.25">
      <c r="A44" s="9" t="s">
        <v>21</v>
      </c>
      <c r="B44" s="6">
        <f>F39</f>
        <v>2155</v>
      </c>
      <c r="C44" s="7"/>
      <c r="E44" s="5">
        <v>50</v>
      </c>
      <c r="F44" s="6"/>
      <c r="G44" s="7">
        <f t="shared" si="2"/>
        <v>0</v>
      </c>
    </row>
    <row r="45" spans="1:20" ht="51.75" customHeight="1" x14ac:dyDescent="0.25">
      <c r="A45" s="9" t="s">
        <v>22</v>
      </c>
      <c r="B45" s="11">
        <f>+B42-B43-B44</f>
        <v>736</v>
      </c>
      <c r="C45" s="12"/>
      <c r="E45" s="5">
        <v>20</v>
      </c>
      <c r="F45" s="6">
        <v>1</v>
      </c>
      <c r="G45" s="7">
        <f t="shared" si="2"/>
        <v>20</v>
      </c>
    </row>
    <row r="46" spans="1:20" ht="46.5" customHeight="1" x14ac:dyDescent="0.25">
      <c r="A46" s="9" t="s">
        <v>23</v>
      </c>
      <c r="B46" s="11">
        <f>G49</f>
        <v>736</v>
      </c>
      <c r="C46" s="12"/>
      <c r="D46" s="1"/>
      <c r="E46" s="5">
        <v>10</v>
      </c>
      <c r="F46" s="6"/>
      <c r="G46" s="7">
        <f>+E46*F46</f>
        <v>0</v>
      </c>
    </row>
    <row r="47" spans="1:20" ht="34.5" customHeight="1" x14ac:dyDescent="0.25">
      <c r="A47" s="9" t="s">
        <v>24</v>
      </c>
      <c r="B47" s="11">
        <f>IF(B45&lt;B46,B46-B45,0)</f>
        <v>0</v>
      </c>
      <c r="C47" s="12"/>
      <c r="E47" s="5">
        <v>5</v>
      </c>
      <c r="F47" s="6">
        <v>3</v>
      </c>
      <c r="G47" s="7">
        <f>+E47*F47</f>
        <v>15</v>
      </c>
    </row>
    <row r="48" spans="1:20" ht="36.75" customHeight="1" x14ac:dyDescent="0.25">
      <c r="A48" s="9" t="s">
        <v>7</v>
      </c>
      <c r="B48" s="11">
        <f>IF(B45&gt;B46,B45-B46,0)</f>
        <v>0</v>
      </c>
      <c r="C48" s="12"/>
      <c r="E48" s="5">
        <v>1</v>
      </c>
      <c r="F48" s="6">
        <v>1</v>
      </c>
      <c r="G48" s="7">
        <f>+E48*F48</f>
        <v>1</v>
      </c>
    </row>
    <row r="49" spans="1:7" ht="30" customHeight="1" thickBot="1" x14ac:dyDescent="0.35">
      <c r="A49" s="10" t="s">
        <v>29</v>
      </c>
      <c r="B49" s="13" t="b">
        <f>B45=B46</f>
        <v>1</v>
      </c>
      <c r="C49" s="14"/>
      <c r="E49" s="159" t="s">
        <v>25</v>
      </c>
      <c r="F49" s="160"/>
      <c r="G49" s="8">
        <f>SUM(G42:G48)</f>
        <v>736</v>
      </c>
    </row>
    <row r="50" spans="1:7" ht="15.75" customHeight="1" thickTop="1" x14ac:dyDescent="0.25"/>
    <row r="51" spans="1:7" ht="15" customHeight="1" x14ac:dyDescent="0.25"/>
    <row r="52" spans="1:7" ht="15" customHeight="1" x14ac:dyDescent="0.25"/>
    <row r="53" spans="1:7" ht="15" customHeight="1" x14ac:dyDescent="0.25"/>
  </sheetData>
  <mergeCells count="3">
    <mergeCell ref="E49:F49"/>
    <mergeCell ref="E2:L2"/>
    <mergeCell ref="A39:C39"/>
  </mergeCells>
  <printOptions horizontalCentered="1" verticalCentered="1"/>
  <pageMargins left="0" right="0" top="0" bottom="0" header="0.31496062992125984" footer="0.31496062992125984"/>
  <pageSetup scale="41" orientation="landscape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0"/>
  <sheetViews>
    <sheetView rightToLeft="1" topLeftCell="A44" zoomScale="93" zoomScaleNormal="93" workbookViewId="0">
      <selection activeCell="H43" sqref="H43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4.14062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6" bestFit="1" customWidth="1"/>
    <col min="16" max="16" width="15.7109375" bestFit="1" customWidth="1"/>
    <col min="18" max="18" width="15.85546875" bestFit="1" customWidth="1"/>
    <col min="19" max="19" width="14" customWidth="1"/>
    <col min="20" max="20" width="10.140625" customWidth="1"/>
  </cols>
  <sheetData>
    <row r="1" spans="1:20" ht="15.75" hidden="1" thickBot="1" x14ac:dyDescent="0.3"/>
    <row r="2" spans="1:20" ht="25.5" customHeight="1" thickBot="1" x14ac:dyDescent="0.3">
      <c r="A2" s="50" t="s">
        <v>0</v>
      </c>
      <c r="B2" s="51"/>
      <c r="C2" s="51"/>
      <c r="D2" s="52"/>
      <c r="E2" s="157">
        <f ca="1">TODAY()</f>
        <v>45118</v>
      </c>
      <c r="F2" s="158"/>
      <c r="G2" s="158"/>
      <c r="H2" s="158"/>
      <c r="I2" s="158"/>
      <c r="J2" s="158"/>
      <c r="K2" s="158"/>
      <c r="L2" s="158"/>
      <c r="M2" s="53"/>
      <c r="N2" s="53"/>
      <c r="O2" s="53"/>
      <c r="P2" s="53"/>
      <c r="Q2" s="53"/>
      <c r="R2" s="53"/>
      <c r="S2" s="53"/>
      <c r="T2" s="53"/>
    </row>
    <row r="3" spans="1:20" ht="36.75" customHeight="1" x14ac:dyDescent="0.25">
      <c r="A3" s="54" t="s">
        <v>4</v>
      </c>
      <c r="B3" s="54" t="s">
        <v>3</v>
      </c>
      <c r="C3" s="54" t="s">
        <v>1</v>
      </c>
      <c r="D3" s="54" t="s">
        <v>2</v>
      </c>
      <c r="E3" s="54" t="s">
        <v>1</v>
      </c>
      <c r="F3" s="54" t="s">
        <v>13</v>
      </c>
      <c r="G3" s="54" t="s">
        <v>5</v>
      </c>
      <c r="H3" s="57" t="s">
        <v>8</v>
      </c>
      <c r="I3" s="18" t="s">
        <v>9</v>
      </c>
      <c r="J3" s="18" t="s">
        <v>10</v>
      </c>
      <c r="K3" s="18" t="s">
        <v>11</v>
      </c>
      <c r="L3" s="18" t="s">
        <v>12</v>
      </c>
      <c r="M3" s="18" t="s">
        <v>31</v>
      </c>
      <c r="N3" s="18" t="s">
        <v>45</v>
      </c>
      <c r="O3" s="18" t="s">
        <v>32</v>
      </c>
      <c r="P3" s="18" t="s">
        <v>34</v>
      </c>
      <c r="Q3" s="18" t="s">
        <v>35</v>
      </c>
      <c r="R3" s="18" t="s">
        <v>39</v>
      </c>
      <c r="S3" s="18" t="s">
        <v>38</v>
      </c>
      <c r="T3" s="19" t="s">
        <v>40</v>
      </c>
    </row>
    <row r="4" spans="1:20" ht="25.5" customHeight="1" x14ac:dyDescent="0.25">
      <c r="A4" s="59">
        <v>45095</v>
      </c>
      <c r="B4" s="15"/>
      <c r="C4" s="15" t="s">
        <v>14</v>
      </c>
      <c r="D4" s="15">
        <f>418+483</f>
        <v>901</v>
      </c>
      <c r="E4" s="15" t="s">
        <v>238</v>
      </c>
      <c r="F4" s="15">
        <f>SUM(G4:T4)</f>
        <v>60</v>
      </c>
      <c r="G4" s="15"/>
      <c r="H4" s="56">
        <v>60</v>
      </c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</row>
    <row r="5" spans="1:20" ht="25.5" customHeight="1" x14ac:dyDescent="0.25">
      <c r="A5" s="59">
        <v>45095</v>
      </c>
      <c r="B5" s="15"/>
      <c r="C5" s="15" t="s">
        <v>15</v>
      </c>
      <c r="D5" s="15">
        <f>1143+1431</f>
        <v>2574</v>
      </c>
      <c r="E5" s="15" t="s">
        <v>68</v>
      </c>
      <c r="F5" s="15">
        <f t="shared" ref="F5:F38" si="0">SUM(G5:T5)</f>
        <v>135</v>
      </c>
      <c r="G5" s="15"/>
      <c r="H5" s="56"/>
      <c r="I5" s="15"/>
      <c r="J5" s="15"/>
      <c r="K5" s="15"/>
      <c r="L5" s="15">
        <f>90+45</f>
        <v>135</v>
      </c>
      <c r="M5" s="15"/>
      <c r="N5" s="15"/>
      <c r="O5" s="15"/>
      <c r="P5" s="15"/>
      <c r="Q5" s="15"/>
      <c r="R5" s="15"/>
      <c r="S5" s="15"/>
      <c r="T5" s="15"/>
    </row>
    <row r="6" spans="1:20" ht="25.5" customHeight="1" x14ac:dyDescent="0.25">
      <c r="A6" s="59">
        <v>45095</v>
      </c>
      <c r="B6" s="15"/>
      <c r="C6" s="15" t="s">
        <v>16</v>
      </c>
      <c r="D6" s="15">
        <v>0</v>
      </c>
      <c r="E6" s="15" t="s">
        <v>260</v>
      </c>
      <c r="F6" s="15">
        <f t="shared" si="0"/>
        <v>10</v>
      </c>
      <c r="G6" s="15"/>
      <c r="H6" s="56"/>
      <c r="I6" s="15"/>
      <c r="J6" s="15"/>
      <c r="K6" s="15"/>
      <c r="L6" s="15"/>
      <c r="M6" s="15"/>
      <c r="N6" s="15"/>
      <c r="O6" s="15"/>
      <c r="P6" s="15">
        <v>10</v>
      </c>
      <c r="Q6" s="15"/>
      <c r="R6" s="15"/>
      <c r="S6" s="15"/>
      <c r="T6" s="15"/>
    </row>
    <row r="7" spans="1:20" ht="25.5" customHeight="1" x14ac:dyDescent="0.25">
      <c r="A7" s="59">
        <v>45095</v>
      </c>
      <c r="B7" s="15"/>
      <c r="C7" s="15" t="s">
        <v>17</v>
      </c>
      <c r="D7" s="15">
        <v>0</v>
      </c>
      <c r="E7" s="15" t="s">
        <v>235</v>
      </c>
      <c r="F7" s="15">
        <f t="shared" si="0"/>
        <v>740</v>
      </c>
      <c r="G7" s="15"/>
      <c r="H7" s="56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>
        <v>740</v>
      </c>
    </row>
    <row r="8" spans="1:20" ht="25.5" customHeight="1" x14ac:dyDescent="0.25">
      <c r="A8" s="59">
        <v>45095</v>
      </c>
      <c r="B8" s="15"/>
      <c r="C8" s="15" t="s">
        <v>18</v>
      </c>
      <c r="D8" s="15">
        <f>60+120+10+400+30+25+20+10</f>
        <v>675</v>
      </c>
      <c r="E8" s="15" t="s">
        <v>117</v>
      </c>
      <c r="F8" s="15">
        <f t="shared" si="0"/>
        <v>150</v>
      </c>
      <c r="G8" s="15">
        <v>150</v>
      </c>
      <c r="H8" s="56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ht="25.5" customHeight="1" x14ac:dyDescent="0.25">
      <c r="A9" s="59">
        <v>45095</v>
      </c>
      <c r="B9" s="15"/>
      <c r="C9" s="15" t="s">
        <v>30</v>
      </c>
      <c r="D9" s="15">
        <v>0</v>
      </c>
      <c r="E9" s="15" t="s">
        <v>74</v>
      </c>
      <c r="F9" s="15">
        <f t="shared" si="0"/>
        <v>150</v>
      </c>
      <c r="G9" s="15">
        <v>150</v>
      </c>
      <c r="H9" s="56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</row>
    <row r="10" spans="1:20" ht="25.5" customHeight="1" x14ac:dyDescent="0.25">
      <c r="A10" s="59">
        <v>45095</v>
      </c>
      <c r="B10" s="15"/>
      <c r="C10" s="15" t="s">
        <v>46</v>
      </c>
      <c r="D10" s="15">
        <v>0</v>
      </c>
      <c r="E10" s="15" t="s">
        <v>146</v>
      </c>
      <c r="F10" s="15">
        <f t="shared" si="0"/>
        <v>150</v>
      </c>
      <c r="G10" s="15">
        <v>150</v>
      </c>
      <c r="H10" s="56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ht="25.5" customHeight="1" x14ac:dyDescent="0.25">
      <c r="A11" s="59">
        <v>45095</v>
      </c>
      <c r="B11" s="15"/>
      <c r="C11" s="15"/>
      <c r="D11" s="15"/>
      <c r="E11" s="15" t="s">
        <v>121</v>
      </c>
      <c r="F11" s="15">
        <f t="shared" si="0"/>
        <v>160</v>
      </c>
      <c r="G11" s="15">
        <v>160</v>
      </c>
      <c r="H11" s="56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</row>
    <row r="12" spans="1:20" ht="25.5" customHeight="1" x14ac:dyDescent="0.25">
      <c r="A12" s="59">
        <v>45095</v>
      </c>
      <c r="B12" s="15"/>
      <c r="C12" s="15"/>
      <c r="D12" s="15"/>
      <c r="E12" s="15" t="s">
        <v>81</v>
      </c>
      <c r="F12" s="15">
        <f t="shared" si="0"/>
        <v>200</v>
      </c>
      <c r="G12" s="15">
        <v>200</v>
      </c>
      <c r="H12" s="56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</row>
    <row r="13" spans="1:20" ht="25.5" customHeight="1" x14ac:dyDescent="0.25">
      <c r="A13" s="59">
        <v>45095</v>
      </c>
      <c r="B13" s="15"/>
      <c r="C13" s="15"/>
      <c r="D13" s="15"/>
      <c r="E13" s="15" t="s">
        <v>77</v>
      </c>
      <c r="F13" s="15">
        <f t="shared" si="0"/>
        <v>100</v>
      </c>
      <c r="G13" s="15">
        <v>100</v>
      </c>
      <c r="H13" s="56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ht="25.5" customHeight="1" x14ac:dyDescent="0.25">
      <c r="A14" s="59">
        <v>45095</v>
      </c>
      <c r="B14" s="15"/>
      <c r="C14" s="15"/>
      <c r="D14" s="15"/>
      <c r="E14" s="15" t="s">
        <v>73</v>
      </c>
      <c r="F14" s="15">
        <f t="shared" si="0"/>
        <v>170</v>
      </c>
      <c r="G14" s="15">
        <v>170</v>
      </c>
      <c r="H14" s="56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ht="25.5" customHeight="1" x14ac:dyDescent="0.25">
      <c r="A15" s="59">
        <v>45095</v>
      </c>
      <c r="B15" s="15"/>
      <c r="C15" s="15"/>
      <c r="D15" s="15"/>
      <c r="E15" s="15" t="s">
        <v>120</v>
      </c>
      <c r="F15" s="15">
        <f t="shared" si="0"/>
        <v>50</v>
      </c>
      <c r="G15" s="15">
        <v>50</v>
      </c>
      <c r="H15" s="56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ht="25.5" customHeight="1" x14ac:dyDescent="0.25">
      <c r="A16" s="59">
        <v>45095</v>
      </c>
      <c r="B16" s="15"/>
      <c r="C16" s="15"/>
      <c r="D16" s="15"/>
      <c r="E16" s="15" t="s">
        <v>83</v>
      </c>
      <c r="F16" s="15">
        <f t="shared" si="0"/>
        <v>30</v>
      </c>
      <c r="G16" s="15">
        <v>30</v>
      </c>
      <c r="H16" s="56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</row>
    <row r="17" spans="1:20" ht="25.5" customHeight="1" x14ac:dyDescent="0.25">
      <c r="A17" s="59"/>
      <c r="B17" s="15"/>
      <c r="C17" s="15"/>
      <c r="D17" s="15"/>
      <c r="E17" s="15" t="s">
        <v>88</v>
      </c>
      <c r="F17" s="15">
        <f t="shared" si="0"/>
        <v>150</v>
      </c>
      <c r="G17" s="15">
        <v>150</v>
      </c>
      <c r="H17" s="56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</row>
    <row r="18" spans="1:20" ht="25.5" customHeight="1" x14ac:dyDescent="0.25">
      <c r="A18" s="59"/>
      <c r="B18" s="15"/>
      <c r="C18" s="15"/>
      <c r="D18" s="15"/>
      <c r="E18" s="15" t="s">
        <v>86</v>
      </c>
      <c r="F18" s="15">
        <f t="shared" si="0"/>
        <v>120</v>
      </c>
      <c r="G18" s="15">
        <v>120</v>
      </c>
      <c r="H18" s="56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ht="25.5" customHeight="1" x14ac:dyDescent="0.25">
      <c r="A19" s="59"/>
      <c r="B19" s="15"/>
      <c r="C19" s="15"/>
      <c r="D19" s="15"/>
      <c r="E19" s="15" t="s">
        <v>79</v>
      </c>
      <c r="F19" s="15">
        <f t="shared" si="0"/>
        <v>50</v>
      </c>
      <c r="G19" s="15">
        <v>50</v>
      </c>
      <c r="H19" s="56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ht="25.5" customHeight="1" x14ac:dyDescent="0.25">
      <c r="A20" s="59"/>
      <c r="B20" s="15"/>
      <c r="C20" s="15"/>
      <c r="D20" s="15"/>
      <c r="E20" s="15" t="s">
        <v>110</v>
      </c>
      <c r="F20" s="15">
        <f t="shared" si="0"/>
        <v>100</v>
      </c>
      <c r="G20" s="15">
        <v>100</v>
      </c>
      <c r="H20" s="56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ht="25.5" customHeight="1" x14ac:dyDescent="0.25">
      <c r="A21" s="59"/>
      <c r="B21" s="15"/>
      <c r="C21" s="15"/>
      <c r="D21" s="15"/>
      <c r="E21" s="15"/>
      <c r="F21" s="15">
        <f t="shared" si="0"/>
        <v>0</v>
      </c>
      <c r="G21" s="15"/>
      <c r="H21" s="56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25.5" customHeight="1" x14ac:dyDescent="0.25">
      <c r="A22" s="59"/>
      <c r="B22" s="15"/>
      <c r="C22" s="15"/>
      <c r="D22" s="15"/>
      <c r="E22" s="15"/>
      <c r="F22" s="15">
        <f t="shared" si="0"/>
        <v>0</v>
      </c>
      <c r="G22" s="15"/>
      <c r="H22" s="56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</row>
    <row r="23" spans="1:20" ht="25.5" customHeight="1" x14ac:dyDescent="0.25">
      <c r="A23" s="59"/>
      <c r="B23" s="15"/>
      <c r="C23" s="15"/>
      <c r="D23" s="15"/>
      <c r="E23" s="15"/>
      <c r="F23" s="15">
        <f t="shared" si="0"/>
        <v>0</v>
      </c>
      <c r="G23" s="15"/>
      <c r="H23" s="56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</row>
    <row r="24" spans="1:20" ht="25.5" customHeight="1" x14ac:dyDescent="0.25">
      <c r="A24" s="59"/>
      <c r="B24" s="15"/>
      <c r="C24" s="15"/>
      <c r="D24" s="15"/>
      <c r="E24" s="15"/>
      <c r="F24" s="15">
        <f t="shared" si="0"/>
        <v>0</v>
      </c>
      <c r="G24" s="15"/>
      <c r="H24" s="56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</row>
    <row r="25" spans="1:20" ht="25.5" customHeight="1" x14ac:dyDescent="0.25">
      <c r="A25" s="59"/>
      <c r="B25" s="15"/>
      <c r="C25" s="15"/>
      <c r="D25" s="15"/>
      <c r="E25" s="15"/>
      <c r="F25" s="15">
        <f t="shared" si="0"/>
        <v>0</v>
      </c>
      <c r="G25" s="15"/>
      <c r="H25" s="56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</row>
    <row r="26" spans="1:20" ht="25.5" customHeight="1" x14ac:dyDescent="0.25">
      <c r="A26" s="59"/>
      <c r="B26" s="15"/>
      <c r="C26" s="15"/>
      <c r="D26" s="15"/>
      <c r="E26" s="15"/>
      <c r="F26" s="15">
        <f t="shared" si="0"/>
        <v>0</v>
      </c>
      <c r="G26" s="15"/>
      <c r="H26" s="56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</row>
    <row r="27" spans="1:20" ht="25.5" customHeight="1" x14ac:dyDescent="0.25">
      <c r="A27" s="59"/>
      <c r="B27" s="15"/>
      <c r="C27" s="15"/>
      <c r="D27" s="15"/>
      <c r="E27" s="15"/>
      <c r="F27" s="15">
        <f t="shared" si="0"/>
        <v>0</v>
      </c>
      <c r="G27" s="15"/>
      <c r="H27" s="56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</row>
    <row r="28" spans="1:20" ht="25.5" customHeight="1" x14ac:dyDescent="0.25">
      <c r="A28" s="59"/>
      <c r="B28" s="15"/>
      <c r="C28" s="15"/>
      <c r="D28" s="15"/>
      <c r="E28" s="15"/>
      <c r="F28" s="15">
        <f t="shared" si="0"/>
        <v>0</v>
      </c>
      <c r="G28" s="15"/>
      <c r="H28" s="56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</row>
    <row r="29" spans="1:20" ht="25.5" customHeight="1" x14ac:dyDescent="0.25">
      <c r="A29" s="59"/>
      <c r="B29" s="15"/>
      <c r="C29" s="15"/>
      <c r="D29" s="15"/>
      <c r="E29" s="15"/>
      <c r="F29" s="15">
        <f t="shared" si="0"/>
        <v>0</v>
      </c>
      <c r="G29" s="15"/>
      <c r="H29" s="56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</row>
    <row r="30" spans="1:20" ht="25.5" customHeight="1" x14ac:dyDescent="0.25">
      <c r="A30" s="59"/>
      <c r="B30" s="15"/>
      <c r="C30" s="15"/>
      <c r="D30" s="15"/>
      <c r="E30" s="15"/>
      <c r="F30" s="15">
        <f t="shared" si="0"/>
        <v>0</v>
      </c>
      <c r="G30" s="15"/>
      <c r="H30" s="56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</row>
    <row r="31" spans="1:20" ht="25.5" customHeight="1" x14ac:dyDescent="0.25">
      <c r="A31" s="59"/>
      <c r="B31" s="15"/>
      <c r="C31" s="15"/>
      <c r="D31" s="15"/>
      <c r="E31" s="15"/>
      <c r="F31" s="15">
        <f t="shared" si="0"/>
        <v>0</v>
      </c>
      <c r="G31" s="15"/>
      <c r="H31" s="56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</row>
    <row r="32" spans="1:20" ht="25.5" customHeight="1" x14ac:dyDescent="0.25">
      <c r="A32" s="59"/>
      <c r="B32" s="15"/>
      <c r="C32" s="15"/>
      <c r="D32" s="15"/>
      <c r="E32" s="15"/>
      <c r="F32" s="15">
        <f t="shared" si="0"/>
        <v>0</v>
      </c>
      <c r="G32" s="15"/>
      <c r="H32" s="56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</row>
    <row r="33" spans="1:20" ht="25.5" customHeight="1" x14ac:dyDescent="0.25">
      <c r="A33" s="59"/>
      <c r="B33" s="15"/>
      <c r="C33" s="15"/>
      <c r="D33" s="15"/>
      <c r="E33" s="15"/>
      <c r="F33" s="15">
        <f t="shared" si="0"/>
        <v>0</v>
      </c>
      <c r="G33" s="15"/>
      <c r="H33" s="56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</row>
    <row r="34" spans="1:20" ht="25.5" customHeight="1" x14ac:dyDescent="0.25">
      <c r="A34" s="59"/>
      <c r="B34" s="15"/>
      <c r="C34" s="15"/>
      <c r="D34" s="15"/>
      <c r="E34" s="15"/>
      <c r="F34" s="15">
        <f t="shared" si="0"/>
        <v>0</v>
      </c>
      <c r="G34" s="15"/>
      <c r="H34" s="56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</row>
    <row r="35" spans="1:20" ht="25.5" customHeight="1" x14ac:dyDescent="0.25">
      <c r="A35" s="59"/>
      <c r="B35" s="15"/>
      <c r="C35" s="15"/>
      <c r="D35" s="15"/>
      <c r="E35" s="15"/>
      <c r="F35" s="15">
        <f t="shared" si="0"/>
        <v>0</v>
      </c>
      <c r="G35" s="15"/>
      <c r="H35" s="56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</row>
    <row r="36" spans="1:20" ht="25.5" customHeight="1" x14ac:dyDescent="0.25">
      <c r="A36" s="59"/>
      <c r="B36" s="15"/>
      <c r="C36" s="15"/>
      <c r="D36" s="15"/>
      <c r="E36" s="15"/>
      <c r="F36" s="15">
        <f t="shared" si="0"/>
        <v>0</v>
      </c>
      <c r="G36" s="15"/>
      <c r="H36" s="56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</row>
    <row r="37" spans="1:20" ht="25.5" customHeight="1" x14ac:dyDescent="0.25">
      <c r="A37" s="59"/>
      <c r="B37" s="15"/>
      <c r="C37" s="15"/>
      <c r="D37" s="15"/>
      <c r="E37" s="15"/>
      <c r="F37" s="15">
        <f t="shared" si="0"/>
        <v>0</v>
      </c>
      <c r="G37" s="15"/>
      <c r="H37" s="56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</row>
    <row r="38" spans="1:20" ht="25.5" customHeight="1" x14ac:dyDescent="0.25">
      <c r="A38" s="59"/>
      <c r="B38" s="15"/>
      <c r="C38" s="15"/>
      <c r="D38" s="15"/>
      <c r="E38" s="15"/>
      <c r="F38" s="15">
        <f t="shared" si="0"/>
        <v>0</v>
      </c>
      <c r="G38" s="15"/>
      <c r="H38" s="56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</row>
    <row r="39" spans="1:20" ht="41.25" customHeight="1" x14ac:dyDescent="0.25">
      <c r="A39" s="161" t="s">
        <v>6</v>
      </c>
      <c r="B39" s="161"/>
      <c r="C39" s="161"/>
      <c r="D39" s="15">
        <f>SUM(D4:D38)</f>
        <v>4150</v>
      </c>
      <c r="E39" s="55"/>
      <c r="F39" s="15">
        <f>SUM(F4:F38)</f>
        <v>2525</v>
      </c>
      <c r="G39" s="15">
        <f t="shared" ref="G39:T39" si="1">SUM(G4:G38)</f>
        <v>1580</v>
      </c>
      <c r="H39" s="56">
        <f t="shared" si="1"/>
        <v>60</v>
      </c>
      <c r="I39" s="15">
        <f t="shared" si="1"/>
        <v>0</v>
      </c>
      <c r="J39" s="15">
        <f t="shared" si="1"/>
        <v>0</v>
      </c>
      <c r="K39" s="15">
        <f t="shared" si="1"/>
        <v>0</v>
      </c>
      <c r="L39" s="15">
        <f t="shared" si="1"/>
        <v>135</v>
      </c>
      <c r="M39" s="15">
        <f t="shared" si="1"/>
        <v>0</v>
      </c>
      <c r="N39" s="15">
        <f t="shared" si="1"/>
        <v>0</v>
      </c>
      <c r="O39" s="15">
        <f t="shared" si="1"/>
        <v>0</v>
      </c>
      <c r="P39" s="15">
        <f t="shared" si="1"/>
        <v>10</v>
      </c>
      <c r="Q39" s="15">
        <f t="shared" si="1"/>
        <v>0</v>
      </c>
      <c r="R39" s="15">
        <f t="shared" si="1"/>
        <v>0</v>
      </c>
      <c r="S39" s="15">
        <f t="shared" si="1"/>
        <v>0</v>
      </c>
      <c r="T39" s="15">
        <f t="shared" si="1"/>
        <v>740</v>
      </c>
    </row>
    <row r="40" spans="1:20" ht="15.75" thickBot="1" x14ac:dyDescent="0.3"/>
    <row r="41" spans="1:20" ht="30.75" customHeight="1" thickTop="1" thickBot="1" x14ac:dyDescent="0.3">
      <c r="E41" s="2" t="s">
        <v>26</v>
      </c>
      <c r="F41" s="3" t="s">
        <v>27</v>
      </c>
      <c r="G41" s="4" t="s">
        <v>28</v>
      </c>
    </row>
    <row r="42" spans="1:20" ht="48.75" customHeight="1" thickTop="1" x14ac:dyDescent="0.25">
      <c r="A42" s="2" t="s">
        <v>19</v>
      </c>
      <c r="B42" s="6">
        <f>+D39</f>
        <v>4150</v>
      </c>
      <c r="C42" s="7"/>
      <c r="E42" s="5">
        <v>200</v>
      </c>
      <c r="F42" s="6">
        <v>2</v>
      </c>
      <c r="G42" s="7">
        <f>+E42*F42</f>
        <v>400</v>
      </c>
    </row>
    <row r="43" spans="1:20" ht="46.5" customHeight="1" x14ac:dyDescent="0.25">
      <c r="A43" s="9" t="s">
        <v>20</v>
      </c>
      <c r="B43" s="6">
        <f>D8</f>
        <v>675</v>
      </c>
      <c r="C43" s="7"/>
      <c r="E43" s="5">
        <v>100</v>
      </c>
      <c r="F43" s="6">
        <v>4</v>
      </c>
      <c r="G43" s="7">
        <f t="shared" ref="G43:G45" si="2">+E43*F43</f>
        <v>400</v>
      </c>
    </row>
    <row r="44" spans="1:20" ht="46.5" customHeight="1" x14ac:dyDescent="0.25">
      <c r="A44" s="9" t="s">
        <v>21</v>
      </c>
      <c r="B44" s="6">
        <f>F39</f>
        <v>2525</v>
      </c>
      <c r="C44" s="7"/>
      <c r="E44" s="5">
        <v>50</v>
      </c>
      <c r="F44" s="6">
        <v>3</v>
      </c>
      <c r="G44" s="7">
        <f t="shared" si="2"/>
        <v>150</v>
      </c>
    </row>
    <row r="45" spans="1:20" ht="51.75" customHeight="1" x14ac:dyDescent="0.25">
      <c r="A45" s="9" t="s">
        <v>22</v>
      </c>
      <c r="B45" s="11">
        <f>+B42-B43-B44</f>
        <v>950</v>
      </c>
      <c r="C45" s="12"/>
      <c r="E45" s="5">
        <v>20</v>
      </c>
      <c r="F45" s="6"/>
      <c r="G45" s="7">
        <f t="shared" si="2"/>
        <v>0</v>
      </c>
    </row>
    <row r="46" spans="1:20" ht="46.5" customHeight="1" x14ac:dyDescent="0.25">
      <c r="A46" s="9" t="s">
        <v>23</v>
      </c>
      <c r="B46" s="11">
        <f>G49</f>
        <v>950</v>
      </c>
      <c r="C46" s="12"/>
      <c r="D46" s="1"/>
      <c r="E46" s="5">
        <v>10</v>
      </c>
      <c r="F46" s="6"/>
      <c r="G46" s="7">
        <f>+E46*F46</f>
        <v>0</v>
      </c>
    </row>
    <row r="47" spans="1:20" ht="34.5" customHeight="1" x14ac:dyDescent="0.25">
      <c r="A47" s="9" t="s">
        <v>24</v>
      </c>
      <c r="B47" s="20">
        <f>IF(B45&lt;B46,B46-B45,0)</f>
        <v>0</v>
      </c>
      <c r="C47" s="12"/>
      <c r="E47" s="5">
        <v>5</v>
      </c>
      <c r="F47" s="6"/>
      <c r="G47" s="7">
        <f>+E47*F47</f>
        <v>0</v>
      </c>
    </row>
    <row r="48" spans="1:20" ht="36.75" customHeight="1" x14ac:dyDescent="0.25">
      <c r="A48" s="9" t="s">
        <v>7</v>
      </c>
      <c r="B48" s="11">
        <f>IF(B45&gt;B46,B45-B46,0)</f>
        <v>0</v>
      </c>
      <c r="C48" s="12"/>
      <c r="E48" s="5">
        <v>1</v>
      </c>
      <c r="F48" s="6"/>
      <c r="G48" s="7">
        <f>+E48*F48</f>
        <v>0</v>
      </c>
    </row>
    <row r="49" spans="1:7" ht="30" customHeight="1" thickBot="1" x14ac:dyDescent="0.35">
      <c r="A49" s="10" t="s">
        <v>29</v>
      </c>
      <c r="B49" s="13" t="b">
        <f>B45=B46</f>
        <v>1</v>
      </c>
      <c r="C49" s="14"/>
      <c r="E49" s="159" t="s">
        <v>25</v>
      </c>
      <c r="F49" s="160"/>
      <c r="G49" s="8">
        <f>SUM(G42:G48)</f>
        <v>950</v>
      </c>
    </row>
    <row r="50" spans="1:7" ht="15.75" thickTop="1" x14ac:dyDescent="0.25"/>
  </sheetData>
  <mergeCells count="3">
    <mergeCell ref="E49:F49"/>
    <mergeCell ref="E2:L2"/>
    <mergeCell ref="A39:C3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6" orientation="landscape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1"/>
  <sheetViews>
    <sheetView rightToLeft="1" topLeftCell="A5" zoomScale="85" zoomScaleNormal="85" workbookViewId="0">
      <selection activeCell="P43" sqref="P43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4.14062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6.28515625" bestFit="1" customWidth="1"/>
    <col min="16" max="16" width="16" bestFit="1" customWidth="1"/>
    <col min="18" max="18" width="16.140625" bestFit="1" customWidth="1"/>
    <col min="19" max="19" width="14" customWidth="1"/>
    <col min="20" max="20" width="10.140625" customWidth="1"/>
  </cols>
  <sheetData>
    <row r="1" spans="1:20" ht="15.75" hidden="1" thickBot="1" x14ac:dyDescent="0.3"/>
    <row r="2" spans="1:20" ht="25.5" customHeight="1" thickBot="1" x14ac:dyDescent="0.3">
      <c r="A2" s="50" t="s">
        <v>0</v>
      </c>
      <c r="B2" s="51"/>
      <c r="C2" s="51"/>
      <c r="D2" s="52"/>
      <c r="E2" s="157">
        <f ca="1">TODAY()</f>
        <v>45118</v>
      </c>
      <c r="F2" s="158"/>
      <c r="G2" s="158"/>
      <c r="H2" s="158"/>
      <c r="I2" s="158"/>
      <c r="J2" s="158"/>
      <c r="K2" s="158"/>
      <c r="L2" s="158"/>
      <c r="M2" s="53"/>
      <c r="N2" s="53"/>
      <c r="O2" s="53"/>
      <c r="P2" s="53"/>
      <c r="Q2" s="53"/>
      <c r="R2" s="53"/>
      <c r="S2" s="53"/>
      <c r="T2" s="53"/>
    </row>
    <row r="3" spans="1:20" ht="36.75" customHeight="1" x14ac:dyDescent="0.25">
      <c r="A3" s="54" t="s">
        <v>4</v>
      </c>
      <c r="B3" s="54" t="s">
        <v>3</v>
      </c>
      <c r="C3" s="54" t="s">
        <v>1</v>
      </c>
      <c r="D3" s="54" t="s">
        <v>2</v>
      </c>
      <c r="E3" s="54" t="s">
        <v>1</v>
      </c>
      <c r="F3" s="54" t="s">
        <v>13</v>
      </c>
      <c r="G3" s="54" t="s">
        <v>5</v>
      </c>
      <c r="H3" s="57" t="s">
        <v>8</v>
      </c>
      <c r="I3" s="18" t="s">
        <v>9</v>
      </c>
      <c r="J3" s="18" t="s">
        <v>10</v>
      </c>
      <c r="K3" s="18" t="s">
        <v>11</v>
      </c>
      <c r="L3" s="18" t="s">
        <v>12</v>
      </c>
      <c r="M3" s="18" t="s">
        <v>31</v>
      </c>
      <c r="N3" s="18" t="s">
        <v>45</v>
      </c>
      <c r="O3" s="18" t="s">
        <v>32</v>
      </c>
      <c r="P3" s="18" t="s">
        <v>34</v>
      </c>
      <c r="Q3" s="18" t="s">
        <v>35</v>
      </c>
      <c r="R3" s="18" t="s">
        <v>39</v>
      </c>
      <c r="S3" s="18" t="s">
        <v>38</v>
      </c>
      <c r="T3" s="19" t="s">
        <v>40</v>
      </c>
    </row>
    <row r="4" spans="1:20" ht="25.5" customHeight="1" x14ac:dyDescent="0.25">
      <c r="A4" s="59">
        <v>45096</v>
      </c>
      <c r="B4" s="15"/>
      <c r="C4" s="15" t="s">
        <v>14</v>
      </c>
      <c r="D4" s="15">
        <f>638+296</f>
        <v>934</v>
      </c>
      <c r="E4" s="15" t="s">
        <v>260</v>
      </c>
      <c r="F4" s="15">
        <f>SUM(G4:T4)</f>
        <v>10</v>
      </c>
      <c r="G4" s="15"/>
      <c r="H4" s="56"/>
      <c r="I4" s="15"/>
      <c r="J4" s="15"/>
      <c r="K4" s="15"/>
      <c r="L4" s="15"/>
      <c r="M4" s="15"/>
      <c r="N4" s="15"/>
      <c r="O4" s="15"/>
      <c r="P4" s="15">
        <v>10</v>
      </c>
      <c r="Q4" s="15"/>
      <c r="R4" s="15"/>
      <c r="S4" s="15"/>
      <c r="T4" s="15"/>
    </row>
    <row r="5" spans="1:20" ht="25.5" customHeight="1" x14ac:dyDescent="0.25">
      <c r="A5" s="59">
        <v>45096</v>
      </c>
      <c r="B5" s="15"/>
      <c r="C5" s="15" t="s">
        <v>15</v>
      </c>
      <c r="D5" s="15">
        <f>1002+2063</f>
        <v>3065</v>
      </c>
      <c r="E5" s="15" t="s">
        <v>269</v>
      </c>
      <c r="F5" s="15">
        <f t="shared" ref="F5:F38" si="0">SUM(G5:T5)</f>
        <v>9</v>
      </c>
      <c r="G5" s="15"/>
      <c r="H5" s="56"/>
      <c r="I5" s="15"/>
      <c r="J5" s="15"/>
      <c r="K5" s="15"/>
      <c r="L5" s="15"/>
      <c r="M5" s="15"/>
      <c r="N5" s="15"/>
      <c r="O5" s="15">
        <v>9</v>
      </c>
      <c r="P5" s="15"/>
      <c r="Q5" s="15"/>
      <c r="R5" s="15"/>
      <c r="S5" s="15"/>
      <c r="T5" s="15"/>
    </row>
    <row r="6" spans="1:20" ht="25.5" customHeight="1" x14ac:dyDescent="0.25">
      <c r="A6" s="59">
        <v>45096</v>
      </c>
      <c r="B6" s="15"/>
      <c r="C6" s="15" t="s">
        <v>16</v>
      </c>
      <c r="D6" s="15">
        <v>0</v>
      </c>
      <c r="E6" s="15" t="s">
        <v>270</v>
      </c>
      <c r="F6" s="15">
        <f t="shared" si="0"/>
        <v>110</v>
      </c>
      <c r="G6" s="15"/>
      <c r="H6" s="56"/>
      <c r="I6" s="15"/>
      <c r="J6" s="15"/>
      <c r="K6" s="15"/>
      <c r="L6" s="15">
        <v>110</v>
      </c>
      <c r="M6" s="15"/>
      <c r="N6" s="15"/>
      <c r="O6" s="15"/>
      <c r="P6" s="15"/>
      <c r="Q6" s="15"/>
      <c r="R6" s="15"/>
      <c r="S6" s="15"/>
      <c r="T6" s="15"/>
    </row>
    <row r="7" spans="1:20" ht="25.5" customHeight="1" x14ac:dyDescent="0.25">
      <c r="A7" s="59">
        <v>45096</v>
      </c>
      <c r="B7" s="15"/>
      <c r="C7" s="15" t="s">
        <v>17</v>
      </c>
      <c r="D7" s="15">
        <f>84</f>
        <v>84</v>
      </c>
      <c r="E7" s="15" t="s">
        <v>191</v>
      </c>
      <c r="F7" s="15">
        <f t="shared" si="0"/>
        <v>180</v>
      </c>
      <c r="G7" s="15"/>
      <c r="H7" s="56"/>
      <c r="I7" s="15"/>
      <c r="J7" s="15"/>
      <c r="K7" s="15"/>
      <c r="L7" s="15">
        <f>90+45+45</f>
        <v>180</v>
      </c>
      <c r="M7" s="15"/>
      <c r="N7" s="15"/>
      <c r="O7" s="15"/>
      <c r="P7" s="15"/>
      <c r="Q7" s="15"/>
      <c r="R7" s="15"/>
      <c r="S7" s="15"/>
      <c r="T7" s="15"/>
    </row>
    <row r="8" spans="1:20" ht="25.5" customHeight="1" x14ac:dyDescent="0.25">
      <c r="A8" s="59">
        <v>45096</v>
      </c>
      <c r="B8" s="15"/>
      <c r="C8" s="15" t="s">
        <v>18</v>
      </c>
      <c r="D8" s="15">
        <f>50+25+25+45+45+80+585+20+88</f>
        <v>963</v>
      </c>
      <c r="E8" s="15" t="s">
        <v>114</v>
      </c>
      <c r="F8" s="15">
        <f t="shared" si="0"/>
        <v>10</v>
      </c>
      <c r="G8" s="15"/>
      <c r="H8" s="56"/>
      <c r="I8" s="15"/>
      <c r="J8" s="15"/>
      <c r="K8" s="15"/>
      <c r="L8" s="15"/>
      <c r="M8" s="15"/>
      <c r="N8" s="15"/>
      <c r="O8" s="15"/>
      <c r="P8" s="15">
        <v>10</v>
      </c>
      <c r="Q8" s="15"/>
      <c r="R8" s="15"/>
      <c r="S8" s="15"/>
      <c r="T8" s="15"/>
    </row>
    <row r="9" spans="1:20" ht="25.5" customHeight="1" x14ac:dyDescent="0.25">
      <c r="A9" s="59">
        <v>45096</v>
      </c>
      <c r="B9" s="15"/>
      <c r="C9" s="15" t="s">
        <v>30</v>
      </c>
      <c r="D9" s="15">
        <v>0</v>
      </c>
      <c r="E9" s="15" t="s">
        <v>66</v>
      </c>
      <c r="F9" s="15">
        <f t="shared" si="0"/>
        <v>300</v>
      </c>
      <c r="G9" s="15"/>
      <c r="H9" s="56"/>
      <c r="I9" s="15"/>
      <c r="J9" s="15"/>
      <c r="K9" s="15"/>
      <c r="L9" s="15"/>
      <c r="M9" s="15"/>
      <c r="N9" s="15"/>
      <c r="O9" s="15"/>
      <c r="P9" s="15"/>
      <c r="Q9" s="15"/>
      <c r="R9" s="15">
        <v>300</v>
      </c>
      <c r="S9" s="15"/>
      <c r="T9" s="15"/>
    </row>
    <row r="10" spans="1:20" ht="25.5" customHeight="1" x14ac:dyDescent="0.25">
      <c r="A10" s="59">
        <v>45096</v>
      </c>
      <c r="B10" s="15"/>
      <c r="C10" s="15" t="s">
        <v>46</v>
      </c>
      <c r="D10" s="15">
        <v>0</v>
      </c>
      <c r="E10" s="15" t="s">
        <v>271</v>
      </c>
      <c r="F10" s="15">
        <f t="shared" si="0"/>
        <v>370</v>
      </c>
      <c r="G10" s="15"/>
      <c r="H10" s="56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>
        <v>370</v>
      </c>
    </row>
    <row r="11" spans="1:20" ht="25.5" customHeight="1" x14ac:dyDescent="0.25">
      <c r="A11" s="59">
        <v>45096</v>
      </c>
      <c r="B11" s="15"/>
      <c r="C11" s="15"/>
      <c r="D11" s="15"/>
      <c r="E11" s="15" t="s">
        <v>272</v>
      </c>
      <c r="F11" s="15">
        <f t="shared" si="0"/>
        <v>65</v>
      </c>
      <c r="G11" s="15"/>
      <c r="H11" s="56">
        <v>65</v>
      </c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</row>
    <row r="12" spans="1:20" ht="25.5" customHeight="1" x14ac:dyDescent="0.25">
      <c r="A12" s="59">
        <v>45096</v>
      </c>
      <c r="B12" s="15"/>
      <c r="C12" s="15"/>
      <c r="D12" s="15"/>
      <c r="E12" s="15" t="s">
        <v>74</v>
      </c>
      <c r="F12" s="15">
        <f t="shared" si="0"/>
        <v>160</v>
      </c>
      <c r="G12" s="15">
        <v>160</v>
      </c>
      <c r="H12" s="56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</row>
    <row r="13" spans="1:20" ht="25.5" customHeight="1" x14ac:dyDescent="0.25">
      <c r="A13" s="59"/>
      <c r="B13" s="15"/>
      <c r="C13" s="15"/>
      <c r="D13" s="15"/>
      <c r="E13" s="15" t="s">
        <v>73</v>
      </c>
      <c r="F13" s="15">
        <f t="shared" si="0"/>
        <v>170</v>
      </c>
      <c r="G13" s="15">
        <v>170</v>
      </c>
      <c r="H13" s="56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ht="25.5" customHeight="1" x14ac:dyDescent="0.25">
      <c r="A14" s="59"/>
      <c r="B14" s="15"/>
      <c r="C14" s="15"/>
      <c r="D14" s="15"/>
      <c r="E14" s="15" t="s">
        <v>117</v>
      </c>
      <c r="F14" s="15">
        <f t="shared" si="0"/>
        <v>150</v>
      </c>
      <c r="G14" s="15">
        <v>150</v>
      </c>
      <c r="H14" s="56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ht="25.5" customHeight="1" x14ac:dyDescent="0.25">
      <c r="A15" s="59"/>
      <c r="B15" s="15"/>
      <c r="C15" s="15"/>
      <c r="D15" s="15"/>
      <c r="E15" s="15" t="s">
        <v>146</v>
      </c>
      <c r="F15" s="15">
        <f t="shared" si="0"/>
        <v>150</v>
      </c>
      <c r="G15" s="15">
        <v>150</v>
      </c>
      <c r="H15" s="56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ht="25.5" customHeight="1" x14ac:dyDescent="0.25">
      <c r="A16" s="59"/>
      <c r="B16" s="15"/>
      <c r="C16" s="15"/>
      <c r="D16" s="15"/>
      <c r="E16" s="15" t="s">
        <v>79</v>
      </c>
      <c r="F16" s="15">
        <f t="shared" si="0"/>
        <v>50</v>
      </c>
      <c r="G16" s="15">
        <v>50</v>
      </c>
      <c r="H16" s="56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</row>
    <row r="17" spans="1:20" ht="25.5" customHeight="1" x14ac:dyDescent="0.25">
      <c r="A17" s="59"/>
      <c r="B17" s="15"/>
      <c r="C17" s="15"/>
      <c r="D17" s="15"/>
      <c r="E17" s="15" t="s">
        <v>145</v>
      </c>
      <c r="F17" s="15">
        <f t="shared" si="0"/>
        <v>30</v>
      </c>
      <c r="G17" s="15">
        <v>30</v>
      </c>
      <c r="H17" s="56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</row>
    <row r="18" spans="1:20" ht="25.5" customHeight="1" x14ac:dyDescent="0.25">
      <c r="A18" s="59"/>
      <c r="B18" s="15"/>
      <c r="C18" s="15"/>
      <c r="D18" s="15"/>
      <c r="E18" s="15" t="s">
        <v>101</v>
      </c>
      <c r="F18" s="15">
        <f t="shared" si="0"/>
        <v>30</v>
      </c>
      <c r="G18" s="15">
        <v>30</v>
      </c>
      <c r="H18" s="56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ht="25.5" customHeight="1" x14ac:dyDescent="0.25">
      <c r="A19" s="59"/>
      <c r="B19" s="15"/>
      <c r="C19" s="15"/>
      <c r="D19" s="15"/>
      <c r="E19" s="15" t="s">
        <v>84</v>
      </c>
      <c r="F19" s="15">
        <f t="shared" si="0"/>
        <v>170</v>
      </c>
      <c r="G19" s="15">
        <v>170</v>
      </c>
      <c r="H19" s="56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ht="25.5" customHeight="1" x14ac:dyDescent="0.25">
      <c r="A20" s="59"/>
      <c r="B20" s="15"/>
      <c r="C20" s="15"/>
      <c r="D20" s="15"/>
      <c r="E20" s="15" t="s">
        <v>88</v>
      </c>
      <c r="F20" s="15">
        <f t="shared" si="0"/>
        <v>150</v>
      </c>
      <c r="G20" s="15">
        <v>150</v>
      </c>
      <c r="H20" s="56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ht="25.5" customHeight="1" x14ac:dyDescent="0.25">
      <c r="A21" s="59"/>
      <c r="B21" s="15"/>
      <c r="C21" s="15"/>
      <c r="D21" s="15"/>
      <c r="E21" s="15" t="s">
        <v>86</v>
      </c>
      <c r="F21" s="15">
        <f t="shared" si="0"/>
        <v>120</v>
      </c>
      <c r="G21" s="15">
        <v>120</v>
      </c>
      <c r="H21" s="56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25.5" customHeight="1" x14ac:dyDescent="0.25">
      <c r="A22" s="59"/>
      <c r="B22" s="15"/>
      <c r="C22" s="15"/>
      <c r="D22" s="15"/>
      <c r="E22" s="15" t="s">
        <v>110</v>
      </c>
      <c r="F22" s="15">
        <f t="shared" si="0"/>
        <v>100</v>
      </c>
      <c r="G22" s="15">
        <v>100</v>
      </c>
      <c r="H22" s="56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</row>
    <row r="23" spans="1:20" ht="25.5" customHeight="1" x14ac:dyDescent="0.25">
      <c r="A23" s="59"/>
      <c r="B23" s="15"/>
      <c r="C23" s="15"/>
      <c r="D23" s="15"/>
      <c r="E23" s="15" t="s">
        <v>121</v>
      </c>
      <c r="F23" s="15">
        <f t="shared" si="0"/>
        <v>160</v>
      </c>
      <c r="G23" s="15">
        <v>160</v>
      </c>
      <c r="H23" s="56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</row>
    <row r="24" spans="1:20" ht="25.5" customHeight="1" x14ac:dyDescent="0.25">
      <c r="A24" s="59"/>
      <c r="B24" s="15"/>
      <c r="C24" s="15"/>
      <c r="D24" s="15"/>
      <c r="E24" s="15" t="s">
        <v>77</v>
      </c>
      <c r="F24" s="15">
        <f t="shared" si="0"/>
        <v>100</v>
      </c>
      <c r="G24" s="15">
        <v>100</v>
      </c>
      <c r="H24" s="56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</row>
    <row r="25" spans="1:20" ht="25.5" customHeight="1" x14ac:dyDescent="0.25">
      <c r="A25" s="59"/>
      <c r="B25" s="15"/>
      <c r="C25" s="15"/>
      <c r="D25" s="15"/>
      <c r="E25" s="15" t="s">
        <v>127</v>
      </c>
      <c r="F25" s="15">
        <f t="shared" si="0"/>
        <v>200</v>
      </c>
      <c r="G25" s="15">
        <v>200</v>
      </c>
      <c r="H25" s="56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</row>
    <row r="26" spans="1:20" ht="25.5" customHeight="1" x14ac:dyDescent="0.25">
      <c r="A26" s="59"/>
      <c r="B26" s="15"/>
      <c r="C26" s="15"/>
      <c r="D26" s="15"/>
      <c r="E26" s="15" t="s">
        <v>120</v>
      </c>
      <c r="F26" s="15">
        <f t="shared" si="0"/>
        <v>50</v>
      </c>
      <c r="G26" s="15">
        <v>50</v>
      </c>
      <c r="H26" s="56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</row>
    <row r="27" spans="1:20" ht="25.5" customHeight="1" x14ac:dyDescent="0.25">
      <c r="A27" s="59"/>
      <c r="B27" s="15"/>
      <c r="C27" s="15"/>
      <c r="D27" s="15"/>
      <c r="E27" s="15"/>
      <c r="F27" s="15">
        <f t="shared" si="0"/>
        <v>0</v>
      </c>
      <c r="G27" s="15"/>
      <c r="H27" s="56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</row>
    <row r="28" spans="1:20" ht="25.5" customHeight="1" x14ac:dyDescent="0.25">
      <c r="A28" s="59"/>
      <c r="B28" s="15"/>
      <c r="C28" s="15"/>
      <c r="D28" s="15"/>
      <c r="E28" s="15"/>
      <c r="F28" s="15">
        <f t="shared" si="0"/>
        <v>0</v>
      </c>
      <c r="G28" s="15"/>
      <c r="H28" s="56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</row>
    <row r="29" spans="1:20" ht="25.5" customHeight="1" x14ac:dyDescent="0.25">
      <c r="A29" s="59"/>
      <c r="B29" s="15"/>
      <c r="C29" s="15"/>
      <c r="D29" s="15"/>
      <c r="E29" s="15"/>
      <c r="F29" s="15">
        <f t="shared" si="0"/>
        <v>0</v>
      </c>
      <c r="G29" s="15"/>
      <c r="H29" s="56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</row>
    <row r="30" spans="1:20" ht="25.5" customHeight="1" x14ac:dyDescent="0.25">
      <c r="A30" s="59"/>
      <c r="B30" s="15"/>
      <c r="C30" s="15"/>
      <c r="D30" s="15"/>
      <c r="E30" s="15"/>
      <c r="F30" s="15">
        <f t="shared" si="0"/>
        <v>0</v>
      </c>
      <c r="G30" s="15"/>
      <c r="H30" s="56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</row>
    <row r="31" spans="1:20" ht="25.5" customHeight="1" x14ac:dyDescent="0.25">
      <c r="A31" s="59"/>
      <c r="B31" s="15"/>
      <c r="C31" s="15"/>
      <c r="D31" s="15"/>
      <c r="E31" s="15"/>
      <c r="F31" s="15">
        <f t="shared" si="0"/>
        <v>0</v>
      </c>
      <c r="G31" s="15"/>
      <c r="H31" s="56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</row>
    <row r="32" spans="1:20" ht="25.5" customHeight="1" x14ac:dyDescent="0.25">
      <c r="A32" s="59"/>
      <c r="B32" s="15"/>
      <c r="C32" s="15"/>
      <c r="D32" s="15"/>
      <c r="E32" s="15"/>
      <c r="F32" s="15">
        <f t="shared" si="0"/>
        <v>0</v>
      </c>
      <c r="G32" s="15"/>
      <c r="H32" s="56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</row>
    <row r="33" spans="1:20" ht="25.5" customHeight="1" x14ac:dyDescent="0.25">
      <c r="A33" s="59"/>
      <c r="B33" s="15"/>
      <c r="C33" s="15"/>
      <c r="D33" s="15"/>
      <c r="E33" s="15"/>
      <c r="F33" s="15">
        <f t="shared" si="0"/>
        <v>0</v>
      </c>
      <c r="G33" s="15"/>
      <c r="H33" s="56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</row>
    <row r="34" spans="1:20" ht="25.5" customHeight="1" x14ac:dyDescent="0.25">
      <c r="A34" s="59"/>
      <c r="B34" s="15"/>
      <c r="C34" s="15"/>
      <c r="D34" s="15"/>
      <c r="E34" s="15"/>
      <c r="F34" s="15">
        <f t="shared" si="0"/>
        <v>0</v>
      </c>
      <c r="G34" s="15"/>
      <c r="H34" s="56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</row>
    <row r="35" spans="1:20" ht="25.5" customHeight="1" x14ac:dyDescent="0.25">
      <c r="A35" s="59"/>
      <c r="B35" s="15"/>
      <c r="C35" s="15"/>
      <c r="D35" s="15"/>
      <c r="E35" s="15"/>
      <c r="F35" s="15">
        <f t="shared" si="0"/>
        <v>0</v>
      </c>
      <c r="G35" s="15"/>
      <c r="H35" s="56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</row>
    <row r="36" spans="1:20" ht="25.5" customHeight="1" x14ac:dyDescent="0.25">
      <c r="A36" s="59"/>
      <c r="B36" s="15"/>
      <c r="C36" s="15"/>
      <c r="D36" s="15"/>
      <c r="E36" s="15"/>
      <c r="F36" s="15">
        <f t="shared" si="0"/>
        <v>0</v>
      </c>
      <c r="G36" s="15"/>
      <c r="H36" s="56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</row>
    <row r="37" spans="1:20" ht="25.5" customHeight="1" x14ac:dyDescent="0.25">
      <c r="A37" s="59"/>
      <c r="B37" s="15"/>
      <c r="C37" s="15"/>
      <c r="D37" s="15"/>
      <c r="E37" s="15"/>
      <c r="F37" s="15">
        <f t="shared" si="0"/>
        <v>0</v>
      </c>
      <c r="G37" s="15"/>
      <c r="H37" s="56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</row>
    <row r="38" spans="1:20" ht="25.5" customHeight="1" x14ac:dyDescent="0.25">
      <c r="A38" s="59"/>
      <c r="B38" s="15"/>
      <c r="C38" s="15"/>
      <c r="D38" s="15"/>
      <c r="E38" s="15"/>
      <c r="F38" s="15">
        <f t="shared" si="0"/>
        <v>0</v>
      </c>
      <c r="G38" s="15"/>
      <c r="H38" s="56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</row>
    <row r="39" spans="1:20" ht="41.25" customHeight="1" x14ac:dyDescent="0.25">
      <c r="A39" s="161" t="s">
        <v>6</v>
      </c>
      <c r="B39" s="161"/>
      <c r="C39" s="161"/>
      <c r="D39" s="15">
        <f>SUM(D4:D38)</f>
        <v>5046</v>
      </c>
      <c r="E39" s="55"/>
      <c r="F39" s="15">
        <f>SUM(F4:F38)</f>
        <v>2844</v>
      </c>
      <c r="G39" s="15">
        <f t="shared" ref="G39:T39" si="1">SUM(G4:G38)</f>
        <v>1790</v>
      </c>
      <c r="H39" s="56">
        <f t="shared" si="1"/>
        <v>65</v>
      </c>
      <c r="I39" s="15">
        <f t="shared" si="1"/>
        <v>0</v>
      </c>
      <c r="J39" s="15">
        <f t="shared" si="1"/>
        <v>0</v>
      </c>
      <c r="K39" s="15">
        <f t="shared" si="1"/>
        <v>0</v>
      </c>
      <c r="L39" s="15">
        <f t="shared" si="1"/>
        <v>290</v>
      </c>
      <c r="M39" s="15">
        <f t="shared" si="1"/>
        <v>0</v>
      </c>
      <c r="N39" s="15">
        <f t="shared" si="1"/>
        <v>0</v>
      </c>
      <c r="O39" s="15">
        <f t="shared" si="1"/>
        <v>9</v>
      </c>
      <c r="P39" s="15">
        <f t="shared" si="1"/>
        <v>20</v>
      </c>
      <c r="Q39" s="15">
        <f t="shared" si="1"/>
        <v>0</v>
      </c>
      <c r="R39" s="15">
        <f t="shared" si="1"/>
        <v>300</v>
      </c>
      <c r="S39" s="15">
        <f t="shared" si="1"/>
        <v>0</v>
      </c>
      <c r="T39" s="15">
        <f t="shared" si="1"/>
        <v>370</v>
      </c>
    </row>
    <row r="40" spans="1:20" ht="15.75" thickBot="1" x14ac:dyDescent="0.3"/>
    <row r="41" spans="1:20" ht="30.75" customHeight="1" thickTop="1" thickBot="1" x14ac:dyDescent="0.3">
      <c r="E41" s="2" t="s">
        <v>26</v>
      </c>
      <c r="F41" s="3" t="s">
        <v>27</v>
      </c>
      <c r="G41" s="4" t="s">
        <v>28</v>
      </c>
    </row>
    <row r="42" spans="1:20" ht="48.75" customHeight="1" thickTop="1" x14ac:dyDescent="0.25">
      <c r="A42" s="2" t="s">
        <v>19</v>
      </c>
      <c r="B42" s="6">
        <f>+D39</f>
        <v>5046</v>
      </c>
      <c r="C42" s="7"/>
      <c r="E42" s="5">
        <v>200</v>
      </c>
      <c r="F42" s="6">
        <v>5</v>
      </c>
      <c r="G42" s="7">
        <f>+E42*F42</f>
        <v>1000</v>
      </c>
    </row>
    <row r="43" spans="1:20" ht="46.5" customHeight="1" x14ac:dyDescent="0.25">
      <c r="A43" s="9" t="s">
        <v>20</v>
      </c>
      <c r="B43" s="6">
        <f>D8</f>
        <v>963</v>
      </c>
      <c r="C43" s="7"/>
      <c r="E43" s="5">
        <v>100</v>
      </c>
      <c r="F43" s="6">
        <v>2</v>
      </c>
      <c r="G43" s="7">
        <f t="shared" ref="G43:G45" si="2">+E43*F43</f>
        <v>200</v>
      </c>
    </row>
    <row r="44" spans="1:20" ht="46.5" customHeight="1" x14ac:dyDescent="0.25">
      <c r="A44" s="9" t="s">
        <v>21</v>
      </c>
      <c r="B44" s="6">
        <f>F39</f>
        <v>2844</v>
      </c>
      <c r="C44" s="7"/>
      <c r="E44" s="5">
        <v>50</v>
      </c>
      <c r="F44" s="6"/>
      <c r="G44" s="7">
        <f t="shared" si="2"/>
        <v>0</v>
      </c>
    </row>
    <row r="45" spans="1:20" ht="51.75" customHeight="1" x14ac:dyDescent="0.25">
      <c r="A45" s="9" t="s">
        <v>22</v>
      </c>
      <c r="B45" s="11">
        <f>+B42-B43-B44</f>
        <v>1239</v>
      </c>
      <c r="C45" s="12"/>
      <c r="E45" s="5">
        <v>20</v>
      </c>
      <c r="F45" s="6">
        <v>2</v>
      </c>
      <c r="G45" s="7">
        <f t="shared" si="2"/>
        <v>40</v>
      </c>
    </row>
    <row r="46" spans="1:20" ht="46.5" customHeight="1" x14ac:dyDescent="0.25">
      <c r="A46" s="9" t="s">
        <v>23</v>
      </c>
      <c r="B46" s="11">
        <f>G49</f>
        <v>1240</v>
      </c>
      <c r="C46" s="12"/>
      <c r="D46" s="1"/>
      <c r="E46" s="5">
        <v>10</v>
      </c>
      <c r="F46" s="6"/>
      <c r="G46" s="7">
        <f>+E46*F46</f>
        <v>0</v>
      </c>
    </row>
    <row r="47" spans="1:20" ht="34.5" customHeight="1" x14ac:dyDescent="0.25">
      <c r="A47" s="9" t="s">
        <v>24</v>
      </c>
      <c r="B47" s="11">
        <f>IF(B45&lt;B46,B46-B45,0)</f>
        <v>1</v>
      </c>
      <c r="C47" s="12"/>
      <c r="E47" s="5">
        <v>5</v>
      </c>
      <c r="F47" s="6"/>
      <c r="G47" s="7">
        <f>+E47*F47</f>
        <v>0</v>
      </c>
    </row>
    <row r="48" spans="1:20" ht="36.75" customHeight="1" x14ac:dyDescent="0.25">
      <c r="A48" s="9" t="s">
        <v>7</v>
      </c>
      <c r="B48" s="11">
        <f>IF(B45&gt;B46,B45-B46,0)</f>
        <v>0</v>
      </c>
      <c r="C48" s="12"/>
      <c r="E48" s="5">
        <v>1</v>
      </c>
      <c r="F48" s="6"/>
      <c r="G48" s="7">
        <f>+E48*F48</f>
        <v>0</v>
      </c>
    </row>
    <row r="49" spans="1:7" ht="30" customHeight="1" thickBot="1" x14ac:dyDescent="0.35">
      <c r="A49" s="10" t="s">
        <v>29</v>
      </c>
      <c r="B49" s="13" t="b">
        <f>B45=B46</f>
        <v>0</v>
      </c>
      <c r="C49" s="14"/>
      <c r="E49" s="159" t="s">
        <v>25</v>
      </c>
      <c r="F49" s="160"/>
      <c r="G49" s="8">
        <f>SUM(G42:G48)</f>
        <v>1240</v>
      </c>
    </row>
    <row r="50" spans="1:7" ht="15.75" customHeight="1" thickTop="1" x14ac:dyDescent="0.25"/>
    <row r="51" spans="1:7" ht="15" customHeight="1" x14ac:dyDescent="0.25"/>
  </sheetData>
  <mergeCells count="3">
    <mergeCell ref="E49:F49"/>
    <mergeCell ref="E2:L2"/>
    <mergeCell ref="A39:C39"/>
  </mergeCells>
  <printOptions horizontalCentered="1" verticalCentered="1"/>
  <pageMargins left="0" right="0" top="0" bottom="0" header="0" footer="0"/>
  <pageSetup scale="41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0"/>
  <sheetViews>
    <sheetView rightToLeft="1" topLeftCell="B2" zoomScale="62" zoomScaleNormal="62" workbookViewId="0">
      <pane ySplit="2" topLeftCell="A37" activePane="bottomLeft" state="frozen"/>
      <selection activeCell="H16" sqref="H16"/>
      <selection pane="bottomLeft" activeCell="C13" sqref="C13"/>
    </sheetView>
  </sheetViews>
  <sheetFormatPr defaultRowHeight="15" x14ac:dyDescent="0.25"/>
  <cols>
    <col min="1" max="1" width="22.7109375" bestFit="1" customWidth="1"/>
    <col min="2" max="2" width="19.140625" customWidth="1"/>
    <col min="3" max="3" width="20.85546875" customWidth="1"/>
    <col min="4" max="4" width="24.28515625" bestFit="1" customWidth="1"/>
    <col min="5" max="5" width="24.14062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4.42578125" bestFit="1" customWidth="1"/>
    <col min="16" max="16" width="14.5703125" bestFit="1" customWidth="1"/>
    <col min="18" max="19" width="14" customWidth="1"/>
    <col min="20" max="20" width="10.140625" customWidth="1"/>
  </cols>
  <sheetData>
    <row r="1" spans="1:20" ht="15.75" hidden="1" thickBot="1" x14ac:dyDescent="0.3"/>
    <row r="2" spans="1:20" ht="25.5" customHeight="1" thickBot="1" x14ac:dyDescent="0.3">
      <c r="A2" s="50" t="s">
        <v>0</v>
      </c>
      <c r="B2" s="51"/>
      <c r="C2" s="51"/>
      <c r="D2" s="52"/>
      <c r="E2" s="157">
        <f ca="1">TODAY()</f>
        <v>45118</v>
      </c>
      <c r="F2" s="158"/>
      <c r="G2" s="158"/>
      <c r="H2" s="158"/>
      <c r="I2" s="158"/>
      <c r="J2" s="158"/>
      <c r="K2" s="158"/>
      <c r="L2" s="158"/>
      <c r="M2" s="53"/>
      <c r="N2" s="53"/>
      <c r="O2" s="53"/>
      <c r="P2" s="53"/>
      <c r="Q2" s="53"/>
      <c r="R2" s="53"/>
      <c r="S2" s="53"/>
      <c r="T2" s="53"/>
    </row>
    <row r="3" spans="1:20" ht="36.75" customHeight="1" x14ac:dyDescent="0.25">
      <c r="A3" s="54" t="s">
        <v>4</v>
      </c>
      <c r="B3" s="54" t="s">
        <v>3</v>
      </c>
      <c r="C3" s="54" t="s">
        <v>1</v>
      </c>
      <c r="D3" s="54" t="s">
        <v>2</v>
      </c>
      <c r="E3" s="54" t="s">
        <v>1</v>
      </c>
      <c r="F3" s="54" t="s">
        <v>13</v>
      </c>
      <c r="G3" s="54" t="s">
        <v>5</v>
      </c>
      <c r="H3" s="57" t="s">
        <v>8</v>
      </c>
      <c r="I3" s="18" t="s">
        <v>9</v>
      </c>
      <c r="J3" s="18" t="s">
        <v>10</v>
      </c>
      <c r="K3" s="18" t="s">
        <v>11</v>
      </c>
      <c r="L3" s="18" t="s">
        <v>12</v>
      </c>
      <c r="M3" s="18" t="s">
        <v>31</v>
      </c>
      <c r="N3" s="18" t="s">
        <v>45</v>
      </c>
      <c r="O3" s="18" t="s">
        <v>32</v>
      </c>
      <c r="P3" s="18" t="s">
        <v>33</v>
      </c>
      <c r="Q3" s="18" t="s">
        <v>35</v>
      </c>
      <c r="R3" s="18" t="s">
        <v>39</v>
      </c>
      <c r="S3" s="18" t="s">
        <v>38</v>
      </c>
      <c r="T3" s="19" t="s">
        <v>40</v>
      </c>
    </row>
    <row r="4" spans="1:20" ht="25.5" customHeight="1" x14ac:dyDescent="0.25">
      <c r="A4" s="15" t="s">
        <v>64</v>
      </c>
      <c r="B4" s="15"/>
      <c r="C4" s="15" t="s">
        <v>14</v>
      </c>
      <c r="D4" s="15">
        <f>605+603</f>
        <v>1208</v>
      </c>
      <c r="E4" s="15" t="s">
        <v>65</v>
      </c>
      <c r="F4" s="15">
        <f>SUM(G4:T4)</f>
        <v>50</v>
      </c>
      <c r="G4" s="15"/>
      <c r="H4" s="56">
        <v>50</v>
      </c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</row>
    <row r="5" spans="1:20" ht="25.5" customHeight="1" x14ac:dyDescent="0.25">
      <c r="A5" s="15" t="s">
        <v>64</v>
      </c>
      <c r="B5" s="15"/>
      <c r="C5" s="15" t="s">
        <v>15</v>
      </c>
      <c r="D5" s="15">
        <f>1569+2097</f>
        <v>3666</v>
      </c>
      <c r="E5" s="15" t="s">
        <v>66</v>
      </c>
      <c r="F5" s="15">
        <f t="shared" ref="F5:F38" si="0">SUM(G5:T5)</f>
        <v>100</v>
      </c>
      <c r="G5" s="15"/>
      <c r="H5" s="56"/>
      <c r="I5" s="15"/>
      <c r="J5" s="15"/>
      <c r="K5" s="15"/>
      <c r="L5" s="15"/>
      <c r="M5" s="15"/>
      <c r="N5" s="15"/>
      <c r="O5" s="15"/>
      <c r="P5" s="15"/>
      <c r="Q5" s="15"/>
      <c r="R5" s="15">
        <v>100</v>
      </c>
      <c r="S5" s="15"/>
      <c r="T5" s="15"/>
    </row>
    <row r="6" spans="1:20" ht="25.5" customHeight="1" x14ac:dyDescent="0.25">
      <c r="A6" s="15" t="s">
        <v>64</v>
      </c>
      <c r="B6" s="15"/>
      <c r="C6" s="15" t="s">
        <v>16</v>
      </c>
      <c r="D6" s="15">
        <v>0</v>
      </c>
      <c r="E6" s="15" t="s">
        <v>67</v>
      </c>
      <c r="F6" s="15">
        <f t="shared" si="0"/>
        <v>15</v>
      </c>
      <c r="G6" s="15"/>
      <c r="H6" s="56">
        <v>15</v>
      </c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</row>
    <row r="7" spans="1:20" ht="25.5" customHeight="1" x14ac:dyDescent="0.25">
      <c r="A7" s="15" t="s">
        <v>64</v>
      </c>
      <c r="B7" s="15"/>
      <c r="C7" s="15" t="s">
        <v>17</v>
      </c>
      <c r="D7" s="15">
        <f>55+140</f>
        <v>195</v>
      </c>
      <c r="E7" s="15" t="s">
        <v>68</v>
      </c>
      <c r="F7" s="15">
        <f t="shared" si="0"/>
        <v>180</v>
      </c>
      <c r="G7" s="15"/>
      <c r="H7" s="56"/>
      <c r="I7" s="15"/>
      <c r="J7" s="15"/>
      <c r="K7" s="15"/>
      <c r="L7" s="15">
        <f>90+45+45</f>
        <v>180</v>
      </c>
      <c r="M7" s="15"/>
      <c r="N7" s="15"/>
      <c r="O7" s="15"/>
      <c r="P7" s="15"/>
      <c r="Q7" s="15"/>
      <c r="R7" s="15"/>
      <c r="S7" s="15"/>
      <c r="T7" s="15"/>
    </row>
    <row r="8" spans="1:20" ht="25.5" customHeight="1" x14ac:dyDescent="0.25">
      <c r="A8" s="15" t="s">
        <v>64</v>
      </c>
      <c r="B8" s="15"/>
      <c r="C8" s="15" t="s">
        <v>18</v>
      </c>
      <c r="D8" s="15">
        <f>315+22+700+25+25+25</f>
        <v>1112</v>
      </c>
      <c r="E8" s="15" t="s">
        <v>69</v>
      </c>
      <c r="F8" s="15">
        <f t="shared" si="0"/>
        <v>370</v>
      </c>
      <c r="G8" s="15"/>
      <c r="H8" s="56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>
        <v>370</v>
      </c>
    </row>
    <row r="9" spans="1:20" ht="25.5" customHeight="1" x14ac:dyDescent="0.25">
      <c r="A9" s="15" t="s">
        <v>64</v>
      </c>
      <c r="B9" s="15"/>
      <c r="C9" s="15" t="s">
        <v>30</v>
      </c>
      <c r="D9" s="15">
        <v>-5</v>
      </c>
      <c r="E9" s="15" t="s">
        <v>70</v>
      </c>
      <c r="F9" s="15">
        <f t="shared" si="0"/>
        <v>75</v>
      </c>
      <c r="G9" s="15"/>
      <c r="H9" s="56"/>
      <c r="I9" s="15"/>
      <c r="J9" s="15"/>
      <c r="K9" s="15"/>
      <c r="L9" s="15"/>
      <c r="M9" s="15"/>
      <c r="N9" s="15">
        <v>75</v>
      </c>
      <c r="O9" s="15"/>
      <c r="P9" s="15"/>
      <c r="Q9" s="15"/>
      <c r="R9" s="15"/>
      <c r="S9" s="15"/>
      <c r="T9" s="15"/>
    </row>
    <row r="10" spans="1:20" ht="25.5" customHeight="1" x14ac:dyDescent="0.25">
      <c r="A10" s="15" t="s">
        <v>64</v>
      </c>
      <c r="B10" s="15"/>
      <c r="C10" s="15" t="s">
        <v>46</v>
      </c>
      <c r="D10" s="15">
        <v>0</v>
      </c>
      <c r="E10" s="15" t="s">
        <v>71</v>
      </c>
      <c r="F10" s="15">
        <f t="shared" si="0"/>
        <v>195</v>
      </c>
      <c r="G10" s="15"/>
      <c r="H10" s="56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>
        <v>195</v>
      </c>
      <c r="T10" s="15"/>
    </row>
    <row r="11" spans="1:20" ht="25.5" customHeight="1" x14ac:dyDescent="0.25">
      <c r="A11" s="15" t="s">
        <v>64</v>
      </c>
      <c r="B11" s="15"/>
      <c r="C11" s="15"/>
      <c r="D11" s="15"/>
      <c r="E11" s="15" t="s">
        <v>72</v>
      </c>
      <c r="F11" s="15">
        <f t="shared" si="0"/>
        <v>22</v>
      </c>
      <c r="G11" s="15"/>
      <c r="H11" s="56"/>
      <c r="I11" s="15"/>
      <c r="J11" s="15"/>
      <c r="K11" s="15"/>
      <c r="L11" s="15"/>
      <c r="M11" s="15"/>
      <c r="N11" s="15">
        <v>22</v>
      </c>
      <c r="O11" s="15"/>
      <c r="P11" s="15"/>
      <c r="Q11" s="15"/>
      <c r="R11" s="15"/>
      <c r="S11" s="15"/>
      <c r="T11" s="15"/>
    </row>
    <row r="12" spans="1:20" ht="25.5" customHeight="1" x14ac:dyDescent="0.25">
      <c r="A12" s="15" t="s">
        <v>64</v>
      </c>
      <c r="B12" s="15"/>
      <c r="C12" s="15"/>
      <c r="D12" s="15"/>
      <c r="E12" s="15" t="s">
        <v>73</v>
      </c>
      <c r="F12" s="15">
        <f t="shared" si="0"/>
        <v>170</v>
      </c>
      <c r="G12" s="15">
        <v>170</v>
      </c>
      <c r="H12" s="56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</row>
    <row r="13" spans="1:20" ht="25.5" customHeight="1" x14ac:dyDescent="0.25">
      <c r="A13" s="15" t="s">
        <v>64</v>
      </c>
      <c r="B13" s="15"/>
      <c r="C13" s="15"/>
      <c r="D13" s="15"/>
      <c r="E13" s="15" t="s">
        <v>74</v>
      </c>
      <c r="F13" s="15">
        <f t="shared" si="0"/>
        <v>150</v>
      </c>
      <c r="G13" s="15">
        <v>150</v>
      </c>
      <c r="H13" s="56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ht="25.5" customHeight="1" x14ac:dyDescent="0.25">
      <c r="A14" s="15" t="s">
        <v>64</v>
      </c>
      <c r="B14" s="15"/>
      <c r="C14" s="15"/>
      <c r="D14" s="15"/>
      <c r="E14" s="15" t="s">
        <v>75</v>
      </c>
      <c r="F14" s="15">
        <f t="shared" si="0"/>
        <v>150</v>
      </c>
      <c r="G14" s="15">
        <v>150</v>
      </c>
      <c r="H14" s="56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ht="25.5" customHeight="1" x14ac:dyDescent="0.25">
      <c r="A15" s="15" t="s">
        <v>64</v>
      </c>
      <c r="B15" s="15"/>
      <c r="C15" s="15"/>
      <c r="D15" s="15"/>
      <c r="E15" s="15" t="s">
        <v>76</v>
      </c>
      <c r="F15" s="15">
        <f t="shared" si="0"/>
        <v>150</v>
      </c>
      <c r="G15" s="15">
        <v>150</v>
      </c>
      <c r="H15" s="56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ht="25.5" customHeight="1" x14ac:dyDescent="0.25">
      <c r="A16" s="15" t="s">
        <v>64</v>
      </c>
      <c r="B16" s="15"/>
      <c r="C16" s="15"/>
      <c r="D16" s="15"/>
      <c r="E16" s="15" t="s">
        <v>77</v>
      </c>
      <c r="F16" s="15">
        <f t="shared" si="0"/>
        <v>100</v>
      </c>
      <c r="G16" s="15">
        <v>100</v>
      </c>
      <c r="H16" s="56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</row>
    <row r="17" spans="1:20" ht="25.5" customHeight="1" x14ac:dyDescent="0.25">
      <c r="A17" s="15" t="s">
        <v>64</v>
      </c>
      <c r="B17" s="15"/>
      <c r="C17" s="15"/>
      <c r="D17" s="15"/>
      <c r="E17" s="15" t="s">
        <v>78</v>
      </c>
      <c r="F17" s="15">
        <f t="shared" si="0"/>
        <v>160</v>
      </c>
      <c r="G17" s="15">
        <v>160</v>
      </c>
      <c r="H17" s="56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</row>
    <row r="18" spans="1:20" ht="25.5" customHeight="1" x14ac:dyDescent="0.25">
      <c r="A18" s="15" t="s">
        <v>64</v>
      </c>
      <c r="B18" s="15"/>
      <c r="C18" s="15"/>
      <c r="D18" s="15"/>
      <c r="E18" s="15" t="s">
        <v>79</v>
      </c>
      <c r="F18" s="15">
        <f t="shared" si="0"/>
        <v>50</v>
      </c>
      <c r="G18" s="15">
        <v>50</v>
      </c>
      <c r="H18" s="56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ht="25.5" customHeight="1" x14ac:dyDescent="0.25">
      <c r="A19" s="15" t="s">
        <v>64</v>
      </c>
      <c r="B19" s="15"/>
      <c r="C19" s="15"/>
      <c r="D19" s="15"/>
      <c r="E19" s="15" t="s">
        <v>80</v>
      </c>
      <c r="F19" s="15">
        <f t="shared" si="0"/>
        <v>50</v>
      </c>
      <c r="G19" s="15">
        <v>50</v>
      </c>
      <c r="H19" s="56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ht="25.5" customHeight="1" x14ac:dyDescent="0.25">
      <c r="A20" s="15" t="s">
        <v>64</v>
      </c>
      <c r="B20" s="15"/>
      <c r="C20" s="15"/>
      <c r="D20" s="15"/>
      <c r="E20" s="15" t="s">
        <v>81</v>
      </c>
      <c r="F20" s="15">
        <f t="shared" si="0"/>
        <v>200</v>
      </c>
      <c r="G20" s="15">
        <v>200</v>
      </c>
      <c r="H20" s="56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ht="25.5" customHeight="1" x14ac:dyDescent="0.25">
      <c r="A21" s="15" t="s">
        <v>64</v>
      </c>
      <c r="B21" s="15"/>
      <c r="C21" s="15"/>
      <c r="D21" s="15"/>
      <c r="E21" s="15" t="s">
        <v>82</v>
      </c>
      <c r="F21" s="15">
        <f t="shared" si="0"/>
        <v>170</v>
      </c>
      <c r="G21" s="15">
        <v>170</v>
      </c>
      <c r="H21" s="56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25.5" customHeight="1" x14ac:dyDescent="0.25">
      <c r="A22" s="15" t="s">
        <v>64</v>
      </c>
      <c r="B22" s="15"/>
      <c r="C22" s="15"/>
      <c r="D22" s="15"/>
      <c r="E22" s="15" t="s">
        <v>83</v>
      </c>
      <c r="F22" s="15">
        <f t="shared" si="0"/>
        <v>30</v>
      </c>
      <c r="G22" s="15">
        <v>30</v>
      </c>
      <c r="H22" s="56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</row>
    <row r="23" spans="1:20" ht="25.5" customHeight="1" x14ac:dyDescent="0.25">
      <c r="A23" s="15" t="s">
        <v>64</v>
      </c>
      <c r="B23" s="15"/>
      <c r="C23" s="15"/>
      <c r="D23" s="15"/>
      <c r="E23" s="15" t="s">
        <v>84</v>
      </c>
      <c r="F23" s="15">
        <f t="shared" si="0"/>
        <v>170</v>
      </c>
      <c r="G23" s="15">
        <v>170</v>
      </c>
      <c r="H23" s="56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</row>
    <row r="24" spans="1:20" ht="25.5" customHeight="1" x14ac:dyDescent="0.25">
      <c r="A24" s="15" t="s">
        <v>64</v>
      </c>
      <c r="B24" s="15"/>
      <c r="C24" s="15"/>
      <c r="D24" s="15"/>
      <c r="E24" s="15" t="s">
        <v>85</v>
      </c>
      <c r="F24" s="15">
        <f t="shared" si="0"/>
        <v>200</v>
      </c>
      <c r="G24" s="15">
        <v>200</v>
      </c>
      <c r="H24" s="56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</row>
    <row r="25" spans="1:20" ht="25.5" customHeight="1" x14ac:dyDescent="0.25">
      <c r="A25" s="15" t="s">
        <v>64</v>
      </c>
      <c r="B25" s="15"/>
      <c r="C25" s="15"/>
      <c r="D25" s="15"/>
      <c r="E25" s="15" t="s">
        <v>86</v>
      </c>
      <c r="F25" s="15">
        <f t="shared" si="0"/>
        <v>150</v>
      </c>
      <c r="G25" s="15">
        <v>150</v>
      </c>
      <c r="H25" s="56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</row>
    <row r="26" spans="1:20" ht="25.5" customHeight="1" x14ac:dyDescent="0.25">
      <c r="A26" s="15" t="s">
        <v>64</v>
      </c>
      <c r="B26" s="15"/>
      <c r="C26" s="15"/>
      <c r="D26" s="15"/>
      <c r="E26" s="15" t="s">
        <v>87</v>
      </c>
      <c r="F26" s="15">
        <f t="shared" si="0"/>
        <v>50</v>
      </c>
      <c r="G26" s="15">
        <v>50</v>
      </c>
      <c r="H26" s="56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</row>
    <row r="27" spans="1:20" ht="25.5" customHeight="1" x14ac:dyDescent="0.25">
      <c r="A27" s="15" t="s">
        <v>64</v>
      </c>
      <c r="B27" s="15"/>
      <c r="C27" s="15"/>
      <c r="D27" s="15"/>
      <c r="E27" s="15" t="s">
        <v>88</v>
      </c>
      <c r="F27" s="15">
        <f t="shared" si="0"/>
        <v>150</v>
      </c>
      <c r="G27" s="15">
        <v>150</v>
      </c>
      <c r="H27" s="56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</row>
    <row r="28" spans="1:20" ht="25.5" customHeight="1" x14ac:dyDescent="0.25">
      <c r="A28" s="15" t="s">
        <v>64</v>
      </c>
      <c r="B28" s="15"/>
      <c r="C28" s="15"/>
      <c r="D28" s="15"/>
      <c r="E28" s="15"/>
      <c r="F28" s="15">
        <f t="shared" si="0"/>
        <v>0</v>
      </c>
      <c r="G28" s="15"/>
      <c r="H28" s="56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</row>
    <row r="29" spans="1:20" ht="25.5" customHeight="1" x14ac:dyDescent="0.25">
      <c r="A29" s="15" t="s">
        <v>64</v>
      </c>
      <c r="B29" s="15"/>
      <c r="C29" s="15"/>
      <c r="D29" s="15"/>
      <c r="E29" s="15"/>
      <c r="F29" s="15">
        <f t="shared" si="0"/>
        <v>0</v>
      </c>
      <c r="G29" s="15"/>
      <c r="H29" s="56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</row>
    <row r="30" spans="1:20" ht="25.5" customHeight="1" x14ac:dyDescent="0.25">
      <c r="A30" s="15"/>
      <c r="B30" s="15"/>
      <c r="C30" s="15"/>
      <c r="D30" s="15"/>
      <c r="E30" s="15"/>
      <c r="F30" s="15">
        <f t="shared" si="0"/>
        <v>0</v>
      </c>
      <c r="G30" s="15"/>
      <c r="H30" s="56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</row>
    <row r="31" spans="1:20" ht="25.5" customHeight="1" x14ac:dyDescent="0.25">
      <c r="A31" s="15"/>
      <c r="B31" s="15"/>
      <c r="C31" s="15"/>
      <c r="D31" s="15"/>
      <c r="E31" s="15"/>
      <c r="F31" s="15">
        <f t="shared" si="0"/>
        <v>0</v>
      </c>
      <c r="G31" s="15"/>
      <c r="H31" s="56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</row>
    <row r="32" spans="1:20" ht="25.5" customHeight="1" x14ac:dyDescent="0.25">
      <c r="A32" s="15"/>
      <c r="B32" s="15"/>
      <c r="C32" s="15"/>
      <c r="D32" s="15"/>
      <c r="E32" s="15"/>
      <c r="F32" s="15">
        <f t="shared" si="0"/>
        <v>0</v>
      </c>
      <c r="G32" s="15"/>
      <c r="H32" s="56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</row>
    <row r="33" spans="1:20" ht="25.5" customHeight="1" x14ac:dyDescent="0.25">
      <c r="A33" s="15"/>
      <c r="B33" s="15"/>
      <c r="C33" s="15"/>
      <c r="D33" s="15"/>
      <c r="E33" s="15"/>
      <c r="F33" s="15">
        <f t="shared" si="0"/>
        <v>0</v>
      </c>
      <c r="G33" s="15"/>
      <c r="H33" s="56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</row>
    <row r="34" spans="1:20" ht="25.5" customHeight="1" x14ac:dyDescent="0.25">
      <c r="A34" s="15"/>
      <c r="B34" s="15"/>
      <c r="C34" s="15"/>
      <c r="D34" s="15"/>
      <c r="E34" s="15"/>
      <c r="F34" s="15">
        <f t="shared" si="0"/>
        <v>0</v>
      </c>
      <c r="G34" s="15"/>
      <c r="H34" s="56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</row>
    <row r="35" spans="1:20" ht="25.5" customHeight="1" x14ac:dyDescent="0.25">
      <c r="A35" s="15"/>
      <c r="B35" s="15"/>
      <c r="C35" s="15"/>
      <c r="D35" s="15"/>
      <c r="E35" s="15"/>
      <c r="F35" s="15">
        <f t="shared" si="0"/>
        <v>0</v>
      </c>
      <c r="G35" s="15"/>
      <c r="H35" s="56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</row>
    <row r="36" spans="1:20" ht="25.5" customHeight="1" x14ac:dyDescent="0.25">
      <c r="A36" s="15"/>
      <c r="B36" s="15"/>
      <c r="C36" s="15"/>
      <c r="D36" s="15"/>
      <c r="E36" s="15"/>
      <c r="F36" s="15">
        <f t="shared" si="0"/>
        <v>0</v>
      </c>
      <c r="G36" s="15"/>
      <c r="H36" s="56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</row>
    <row r="37" spans="1:20" ht="25.5" customHeight="1" x14ac:dyDescent="0.25">
      <c r="A37" s="15"/>
      <c r="B37" s="15"/>
      <c r="C37" s="15"/>
      <c r="D37" s="15"/>
      <c r="E37" s="15"/>
      <c r="F37" s="15">
        <f t="shared" si="0"/>
        <v>0</v>
      </c>
      <c r="G37" s="15"/>
      <c r="H37" s="56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</row>
    <row r="38" spans="1:20" ht="25.5" customHeight="1" x14ac:dyDescent="0.25">
      <c r="A38" s="15"/>
      <c r="B38" s="15"/>
      <c r="C38" s="15"/>
      <c r="D38" s="15"/>
      <c r="E38" s="15"/>
      <c r="F38" s="15">
        <f t="shared" si="0"/>
        <v>0</v>
      </c>
      <c r="G38" s="15"/>
      <c r="H38" s="56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</row>
    <row r="39" spans="1:20" ht="41.25" customHeight="1" x14ac:dyDescent="0.25">
      <c r="A39" s="161" t="s">
        <v>6</v>
      </c>
      <c r="B39" s="161"/>
      <c r="C39" s="161"/>
      <c r="D39" s="15">
        <f>SUM(D4:D38)</f>
        <v>6176</v>
      </c>
      <c r="E39" s="55"/>
      <c r="F39" s="15">
        <f>SUM(F4:F38)</f>
        <v>3107</v>
      </c>
      <c r="G39" s="15">
        <f t="shared" ref="G39:T39" si="1">SUM(G4:G38)</f>
        <v>2100</v>
      </c>
      <c r="H39" s="56">
        <f t="shared" si="1"/>
        <v>65</v>
      </c>
      <c r="I39" s="15">
        <f t="shared" si="1"/>
        <v>0</v>
      </c>
      <c r="J39" s="15">
        <f t="shared" si="1"/>
        <v>0</v>
      </c>
      <c r="K39" s="15">
        <f t="shared" si="1"/>
        <v>0</v>
      </c>
      <c r="L39" s="15">
        <f t="shared" si="1"/>
        <v>180</v>
      </c>
      <c r="M39" s="15">
        <f t="shared" si="1"/>
        <v>0</v>
      </c>
      <c r="N39" s="15">
        <f t="shared" si="1"/>
        <v>97</v>
      </c>
      <c r="O39" s="15">
        <f t="shared" si="1"/>
        <v>0</v>
      </c>
      <c r="P39" s="15">
        <f t="shared" si="1"/>
        <v>0</v>
      </c>
      <c r="Q39" s="15">
        <f t="shared" si="1"/>
        <v>0</v>
      </c>
      <c r="R39" s="15">
        <f t="shared" si="1"/>
        <v>100</v>
      </c>
      <c r="S39" s="15">
        <f t="shared" si="1"/>
        <v>195</v>
      </c>
      <c r="T39" s="15">
        <f t="shared" si="1"/>
        <v>370</v>
      </c>
    </row>
    <row r="40" spans="1:20" ht="15.75" thickBot="1" x14ac:dyDescent="0.3"/>
    <row r="41" spans="1:20" ht="30.75" customHeight="1" thickTop="1" thickBot="1" x14ac:dyDescent="0.3">
      <c r="E41" s="2" t="s">
        <v>26</v>
      </c>
      <c r="F41" s="3" t="s">
        <v>27</v>
      </c>
      <c r="G41" s="4" t="s">
        <v>28</v>
      </c>
    </row>
    <row r="42" spans="1:20" ht="48.75" customHeight="1" thickTop="1" x14ac:dyDescent="0.25">
      <c r="A42" s="2" t="s">
        <v>19</v>
      </c>
      <c r="B42" s="6">
        <f>+D39</f>
        <v>6176</v>
      </c>
      <c r="C42" s="7"/>
      <c r="E42" s="5">
        <v>200</v>
      </c>
      <c r="F42" s="6">
        <v>8</v>
      </c>
      <c r="G42" s="7">
        <f>+E42*F42</f>
        <v>1600</v>
      </c>
    </row>
    <row r="43" spans="1:20" ht="46.5" customHeight="1" x14ac:dyDescent="0.25">
      <c r="A43" s="9" t="s">
        <v>20</v>
      </c>
      <c r="B43" s="6">
        <f>D8</f>
        <v>1112</v>
      </c>
      <c r="C43" s="7"/>
      <c r="E43" s="5">
        <v>100</v>
      </c>
      <c r="F43" s="6">
        <v>1</v>
      </c>
      <c r="G43" s="7">
        <f t="shared" ref="G43:G45" si="2">+E43*F43</f>
        <v>100</v>
      </c>
    </row>
    <row r="44" spans="1:20" ht="46.5" customHeight="1" x14ac:dyDescent="0.25">
      <c r="A44" s="9" t="s">
        <v>21</v>
      </c>
      <c r="B44" s="6">
        <f>F39</f>
        <v>3107</v>
      </c>
      <c r="C44" s="7"/>
      <c r="E44" s="5">
        <v>50</v>
      </c>
      <c r="F44" s="6">
        <v>5</v>
      </c>
      <c r="G44" s="7">
        <f t="shared" si="2"/>
        <v>250</v>
      </c>
    </row>
    <row r="45" spans="1:20" ht="51.75" customHeight="1" x14ac:dyDescent="0.25">
      <c r="A45" s="9" t="s">
        <v>22</v>
      </c>
      <c r="B45" s="11">
        <f>+B42-B43-B44</f>
        <v>1957</v>
      </c>
      <c r="C45" s="12"/>
      <c r="E45" s="5">
        <v>20</v>
      </c>
      <c r="F45" s="6"/>
      <c r="G45" s="7">
        <f t="shared" si="2"/>
        <v>0</v>
      </c>
    </row>
    <row r="46" spans="1:20" ht="46.5" customHeight="1" x14ac:dyDescent="0.25">
      <c r="A46" s="9" t="s">
        <v>23</v>
      </c>
      <c r="B46" s="11">
        <f>G49</f>
        <v>1973</v>
      </c>
      <c r="C46" s="12"/>
      <c r="D46" s="1"/>
      <c r="E46" s="5">
        <v>10</v>
      </c>
      <c r="F46" s="6">
        <v>2</v>
      </c>
      <c r="G46" s="7">
        <f>+E46*F46</f>
        <v>20</v>
      </c>
    </row>
    <row r="47" spans="1:20" ht="34.5" customHeight="1" x14ac:dyDescent="0.25">
      <c r="A47" s="9" t="s">
        <v>24</v>
      </c>
      <c r="B47" s="11">
        <f>IF(B45&lt;B46,B46-B45,0)</f>
        <v>16</v>
      </c>
      <c r="C47" s="12"/>
      <c r="E47" s="5">
        <v>5</v>
      </c>
      <c r="F47" s="6"/>
      <c r="G47" s="7">
        <f>+E47*F47</f>
        <v>0</v>
      </c>
    </row>
    <row r="48" spans="1:20" ht="36.75" customHeight="1" x14ac:dyDescent="0.25">
      <c r="A48" s="9" t="s">
        <v>7</v>
      </c>
      <c r="B48" s="11">
        <f>IF(B45&gt;B46,B45-B46,0)</f>
        <v>0</v>
      </c>
      <c r="C48" s="12"/>
      <c r="E48" s="5">
        <v>1</v>
      </c>
      <c r="F48" s="6">
        <v>3</v>
      </c>
      <c r="G48" s="7">
        <f>+E48*F48</f>
        <v>3</v>
      </c>
    </row>
    <row r="49" spans="1:7" ht="30" customHeight="1" thickBot="1" x14ac:dyDescent="0.35">
      <c r="A49" s="10" t="s">
        <v>29</v>
      </c>
      <c r="B49" s="13" t="b">
        <f>B45=B46</f>
        <v>0</v>
      </c>
      <c r="C49" s="14"/>
      <c r="E49" s="159" t="s">
        <v>25</v>
      </c>
      <c r="F49" s="160"/>
      <c r="G49" s="8">
        <f>SUM(G42:G48)</f>
        <v>1973</v>
      </c>
    </row>
    <row r="50" spans="1:7" ht="15.75" thickTop="1" x14ac:dyDescent="0.25"/>
  </sheetData>
  <mergeCells count="3">
    <mergeCell ref="E2:L2"/>
    <mergeCell ref="E49:F49"/>
    <mergeCell ref="A39:C39"/>
  </mergeCells>
  <printOptions horizontalCentered="1" verticalCentered="1"/>
  <pageMargins left="0" right="0" top="0" bottom="0" header="0.31496062992125984" footer="0.31496062992125984"/>
  <pageSetup scale="41" orientation="landscape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0"/>
  <sheetViews>
    <sheetView rightToLeft="1" topLeftCell="A44" workbookViewId="0">
      <selection activeCell="E24" sqref="E24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4.14062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6" bestFit="1" customWidth="1"/>
    <col min="16" max="16" width="15.7109375" bestFit="1" customWidth="1"/>
    <col min="18" max="18" width="15.85546875" bestFit="1" customWidth="1"/>
    <col min="19" max="19" width="14" customWidth="1"/>
    <col min="20" max="20" width="10.140625" customWidth="1"/>
  </cols>
  <sheetData>
    <row r="1" spans="1:20" ht="15.75" hidden="1" thickBot="1" x14ac:dyDescent="0.3"/>
    <row r="2" spans="1:20" ht="25.5" customHeight="1" thickBot="1" x14ac:dyDescent="0.3">
      <c r="A2" s="50" t="s">
        <v>0</v>
      </c>
      <c r="B2" s="51"/>
      <c r="C2" s="51"/>
      <c r="D2" s="52"/>
      <c r="E2" s="157">
        <f ca="1">TODAY()</f>
        <v>45118</v>
      </c>
      <c r="F2" s="158"/>
      <c r="G2" s="158"/>
      <c r="H2" s="158"/>
      <c r="I2" s="158"/>
      <c r="J2" s="158"/>
      <c r="K2" s="158"/>
      <c r="L2" s="158"/>
      <c r="M2" s="53"/>
      <c r="N2" s="53"/>
      <c r="O2" s="53"/>
      <c r="P2" s="53"/>
      <c r="Q2" s="53"/>
      <c r="R2" s="53"/>
      <c r="S2" s="53"/>
      <c r="T2" s="53"/>
    </row>
    <row r="3" spans="1:20" ht="36.75" customHeight="1" x14ac:dyDescent="0.25">
      <c r="A3" s="54" t="s">
        <v>4</v>
      </c>
      <c r="B3" s="54" t="s">
        <v>3</v>
      </c>
      <c r="C3" s="54" t="s">
        <v>1</v>
      </c>
      <c r="D3" s="54" t="s">
        <v>2</v>
      </c>
      <c r="E3" s="54" t="s">
        <v>1</v>
      </c>
      <c r="F3" s="54" t="s">
        <v>13</v>
      </c>
      <c r="G3" s="54" t="s">
        <v>5</v>
      </c>
      <c r="H3" s="57" t="s">
        <v>8</v>
      </c>
      <c r="I3" s="18" t="s">
        <v>9</v>
      </c>
      <c r="J3" s="18" t="s">
        <v>10</v>
      </c>
      <c r="K3" s="18" t="s">
        <v>11</v>
      </c>
      <c r="L3" s="18" t="s">
        <v>12</v>
      </c>
      <c r="M3" s="18" t="s">
        <v>31</v>
      </c>
      <c r="N3" s="18" t="s">
        <v>45</v>
      </c>
      <c r="O3" s="18" t="s">
        <v>32</v>
      </c>
      <c r="P3" s="18" t="s">
        <v>34</v>
      </c>
      <c r="Q3" s="18" t="s">
        <v>35</v>
      </c>
      <c r="R3" s="18" t="s">
        <v>39</v>
      </c>
      <c r="S3" s="18" t="s">
        <v>38</v>
      </c>
      <c r="T3" s="19" t="s">
        <v>40</v>
      </c>
    </row>
    <row r="4" spans="1:20" ht="25.5" customHeight="1" x14ac:dyDescent="0.25">
      <c r="A4" s="59">
        <v>45097</v>
      </c>
      <c r="B4" s="15"/>
      <c r="C4" s="15" t="s">
        <v>14</v>
      </c>
      <c r="D4" s="15">
        <f>285+360</f>
        <v>645</v>
      </c>
      <c r="E4" s="15" t="s">
        <v>273</v>
      </c>
      <c r="F4" s="15">
        <f>SUM(G4:T4)</f>
        <v>20</v>
      </c>
      <c r="G4" s="15"/>
      <c r="H4" s="56"/>
      <c r="I4" s="15"/>
      <c r="J4" s="15"/>
      <c r="K4" s="15"/>
      <c r="L4" s="15"/>
      <c r="M4" s="15">
        <v>20</v>
      </c>
      <c r="N4" s="15"/>
      <c r="O4" s="15"/>
      <c r="P4" s="15"/>
      <c r="Q4" s="15"/>
      <c r="R4" s="15"/>
      <c r="S4" s="15"/>
      <c r="T4" s="15"/>
    </row>
    <row r="5" spans="1:20" ht="25.5" customHeight="1" x14ac:dyDescent="0.25">
      <c r="A5" s="59">
        <v>45097</v>
      </c>
      <c r="B5" s="15"/>
      <c r="C5" s="15" t="s">
        <v>15</v>
      </c>
      <c r="D5" s="15">
        <f>905+1222</f>
        <v>2127</v>
      </c>
      <c r="E5" s="15" t="s">
        <v>111</v>
      </c>
      <c r="F5" s="15">
        <f t="shared" ref="F5:F38" si="0">SUM(G5:T5)</f>
        <v>65</v>
      </c>
      <c r="G5" s="15"/>
      <c r="H5" s="56">
        <v>65</v>
      </c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</row>
    <row r="6" spans="1:20" ht="25.5" customHeight="1" x14ac:dyDescent="0.25">
      <c r="A6" s="59">
        <v>45097</v>
      </c>
      <c r="B6" s="15"/>
      <c r="C6" s="15" t="s">
        <v>16</v>
      </c>
      <c r="D6" s="15">
        <v>0</v>
      </c>
      <c r="E6" s="15" t="s">
        <v>123</v>
      </c>
      <c r="F6" s="15">
        <f t="shared" si="0"/>
        <v>10</v>
      </c>
      <c r="G6" s="15"/>
      <c r="H6" s="56">
        <v>10</v>
      </c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</row>
    <row r="7" spans="1:20" ht="25.5" customHeight="1" x14ac:dyDescent="0.25">
      <c r="A7" s="59">
        <v>45097</v>
      </c>
      <c r="B7" s="15"/>
      <c r="C7" s="15" t="s">
        <v>17</v>
      </c>
      <c r="D7" s="15">
        <v>55</v>
      </c>
      <c r="E7" s="15" t="s">
        <v>114</v>
      </c>
      <c r="F7" s="15">
        <f t="shared" si="0"/>
        <v>10</v>
      </c>
      <c r="G7" s="15"/>
      <c r="H7" s="56"/>
      <c r="I7" s="15"/>
      <c r="J7" s="15"/>
      <c r="K7" s="15"/>
      <c r="L7" s="15"/>
      <c r="M7" s="15"/>
      <c r="N7" s="15"/>
      <c r="O7" s="15"/>
      <c r="P7" s="15">
        <v>10</v>
      </c>
      <c r="Q7" s="15"/>
      <c r="R7" s="15"/>
      <c r="S7" s="15"/>
      <c r="T7" s="15"/>
    </row>
    <row r="8" spans="1:20" ht="25.5" customHeight="1" x14ac:dyDescent="0.25">
      <c r="A8" s="59">
        <v>45097</v>
      </c>
      <c r="B8" s="15"/>
      <c r="C8" s="15" t="s">
        <v>18</v>
      </c>
      <c r="D8" s="15">
        <f>170+1000+90+300+2000+190+20+75+8+49+50+75</f>
        <v>4027</v>
      </c>
      <c r="E8" s="15" t="s">
        <v>112</v>
      </c>
      <c r="F8" s="15">
        <f t="shared" si="0"/>
        <v>500</v>
      </c>
      <c r="G8" s="15"/>
      <c r="H8" s="56"/>
      <c r="I8" s="15"/>
      <c r="J8" s="15"/>
      <c r="K8" s="15"/>
      <c r="L8" s="15"/>
      <c r="M8" s="15"/>
      <c r="N8" s="15"/>
      <c r="O8" s="15"/>
      <c r="P8" s="15"/>
      <c r="Q8" s="15"/>
      <c r="R8" s="15">
        <f>100+400</f>
        <v>500</v>
      </c>
      <c r="S8" s="15"/>
      <c r="T8" s="15"/>
    </row>
    <row r="9" spans="1:20" ht="25.5" customHeight="1" x14ac:dyDescent="0.25">
      <c r="A9" s="59">
        <v>45097</v>
      </c>
      <c r="B9" s="15"/>
      <c r="C9" s="15" t="s">
        <v>30</v>
      </c>
      <c r="D9" s="15">
        <v>0</v>
      </c>
      <c r="E9" s="15" t="s">
        <v>12</v>
      </c>
      <c r="F9" s="15">
        <f t="shared" si="0"/>
        <v>135</v>
      </c>
      <c r="G9" s="15"/>
      <c r="H9" s="56"/>
      <c r="I9" s="15"/>
      <c r="J9" s="15"/>
      <c r="K9" s="15"/>
      <c r="L9" s="15">
        <f>90+45</f>
        <v>135</v>
      </c>
      <c r="M9" s="15"/>
      <c r="N9" s="15"/>
      <c r="O9" s="15"/>
      <c r="P9" s="15"/>
      <c r="Q9" s="15"/>
      <c r="R9" s="15"/>
      <c r="S9" s="15"/>
      <c r="T9" s="15"/>
    </row>
    <row r="10" spans="1:20" ht="25.5" customHeight="1" x14ac:dyDescent="0.25">
      <c r="A10" s="59">
        <v>45097</v>
      </c>
      <c r="B10" s="15"/>
      <c r="C10" s="15" t="s">
        <v>46</v>
      </c>
      <c r="D10" s="15">
        <v>0</v>
      </c>
      <c r="E10" s="15" t="s">
        <v>274</v>
      </c>
      <c r="F10" s="15">
        <f t="shared" si="0"/>
        <v>17</v>
      </c>
      <c r="G10" s="15"/>
      <c r="H10" s="56"/>
      <c r="I10" s="15"/>
      <c r="J10" s="15"/>
      <c r="K10" s="15"/>
      <c r="L10" s="15"/>
      <c r="M10" s="15"/>
      <c r="N10" s="15">
        <v>17</v>
      </c>
      <c r="O10" s="15"/>
      <c r="P10" s="15"/>
      <c r="Q10" s="15"/>
      <c r="R10" s="15"/>
      <c r="S10" s="15"/>
      <c r="T10" s="15"/>
    </row>
    <row r="11" spans="1:20" ht="25.5" customHeight="1" x14ac:dyDescent="0.25">
      <c r="A11" s="59">
        <v>45097</v>
      </c>
      <c r="B11" s="15"/>
      <c r="C11" s="15"/>
      <c r="D11" s="15"/>
      <c r="E11" s="15" t="s">
        <v>275</v>
      </c>
      <c r="F11" s="15">
        <f t="shared" si="0"/>
        <v>370</v>
      </c>
      <c r="G11" s="15"/>
      <c r="H11" s="56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>
        <v>370</v>
      </c>
    </row>
    <row r="12" spans="1:20" ht="25.5" customHeight="1" x14ac:dyDescent="0.25">
      <c r="A12" s="59">
        <v>45097</v>
      </c>
      <c r="B12" s="15"/>
      <c r="C12" s="15"/>
      <c r="D12" s="15"/>
      <c r="E12" s="15" t="s">
        <v>73</v>
      </c>
      <c r="F12" s="15">
        <f t="shared" si="0"/>
        <v>170</v>
      </c>
      <c r="G12" s="15">
        <v>170</v>
      </c>
      <c r="H12" s="56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</row>
    <row r="13" spans="1:20" ht="25.5" customHeight="1" x14ac:dyDescent="0.25">
      <c r="A13" s="59">
        <v>45097</v>
      </c>
      <c r="B13" s="15"/>
      <c r="C13" s="15"/>
      <c r="D13" s="15"/>
      <c r="E13" s="15" t="s">
        <v>276</v>
      </c>
      <c r="F13" s="15">
        <f t="shared" si="0"/>
        <v>160</v>
      </c>
      <c r="G13" s="15">
        <v>160</v>
      </c>
      <c r="H13" s="56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ht="25.5" customHeight="1" x14ac:dyDescent="0.25">
      <c r="A14" s="59">
        <v>45097</v>
      </c>
      <c r="B14" s="15"/>
      <c r="C14" s="15"/>
      <c r="D14" s="15"/>
      <c r="E14" s="15" t="s">
        <v>117</v>
      </c>
      <c r="F14" s="15">
        <f t="shared" si="0"/>
        <v>150</v>
      </c>
      <c r="G14" s="15">
        <v>150</v>
      </c>
      <c r="H14" s="56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ht="25.5" customHeight="1" x14ac:dyDescent="0.25">
      <c r="A15" s="59">
        <v>45097</v>
      </c>
      <c r="B15" s="15"/>
      <c r="C15" s="15"/>
      <c r="D15" s="15"/>
      <c r="E15" s="15" t="s">
        <v>146</v>
      </c>
      <c r="F15" s="15">
        <f t="shared" si="0"/>
        <v>150</v>
      </c>
      <c r="G15" s="15">
        <v>150</v>
      </c>
      <c r="H15" s="56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ht="25.5" customHeight="1" x14ac:dyDescent="0.25">
      <c r="A16" s="59"/>
      <c r="B16" s="15"/>
      <c r="C16" s="15"/>
      <c r="D16" s="15"/>
      <c r="E16" s="15" t="s">
        <v>121</v>
      </c>
      <c r="F16" s="15">
        <f t="shared" si="0"/>
        <v>160</v>
      </c>
      <c r="G16" s="15">
        <v>160</v>
      </c>
      <c r="H16" s="56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</row>
    <row r="17" spans="1:20" ht="25.5" customHeight="1" x14ac:dyDescent="0.25">
      <c r="A17" s="59"/>
      <c r="B17" s="15"/>
      <c r="C17" s="15"/>
      <c r="D17" s="15"/>
      <c r="E17" s="15" t="s">
        <v>77</v>
      </c>
      <c r="F17" s="15">
        <f t="shared" si="0"/>
        <v>100</v>
      </c>
      <c r="G17" s="15">
        <v>100</v>
      </c>
      <c r="H17" s="56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</row>
    <row r="18" spans="1:20" ht="25.5" customHeight="1" x14ac:dyDescent="0.25">
      <c r="A18" s="59"/>
      <c r="B18" s="15"/>
      <c r="C18" s="15"/>
      <c r="D18" s="15"/>
      <c r="E18" s="15" t="s">
        <v>127</v>
      </c>
      <c r="F18" s="15">
        <f t="shared" si="0"/>
        <v>200</v>
      </c>
      <c r="G18" s="15">
        <v>200</v>
      </c>
      <c r="H18" s="56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ht="25.5" customHeight="1" x14ac:dyDescent="0.25">
      <c r="A19" s="59"/>
      <c r="B19" s="15"/>
      <c r="C19" s="15"/>
      <c r="D19" s="15"/>
      <c r="E19" s="15" t="s">
        <v>120</v>
      </c>
      <c r="F19" s="15">
        <f t="shared" si="0"/>
        <v>50</v>
      </c>
      <c r="G19" s="15">
        <v>50</v>
      </c>
      <c r="H19" s="56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ht="25.5" customHeight="1" x14ac:dyDescent="0.25">
      <c r="A20" s="59"/>
      <c r="B20" s="15"/>
      <c r="C20" s="15"/>
      <c r="D20" s="15"/>
      <c r="E20" s="15" t="s">
        <v>84</v>
      </c>
      <c r="F20" s="15">
        <f t="shared" si="0"/>
        <v>170</v>
      </c>
      <c r="G20" s="15">
        <v>170</v>
      </c>
      <c r="H20" s="56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ht="25.5" customHeight="1" x14ac:dyDescent="0.25">
      <c r="A21" s="59"/>
      <c r="B21" s="15"/>
      <c r="C21" s="15"/>
      <c r="D21" s="15"/>
      <c r="E21" s="15" t="s">
        <v>83</v>
      </c>
      <c r="F21" s="15">
        <f t="shared" si="0"/>
        <v>30</v>
      </c>
      <c r="G21" s="15">
        <v>30</v>
      </c>
      <c r="H21" s="56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25.5" customHeight="1" x14ac:dyDescent="0.25">
      <c r="A22" s="59"/>
      <c r="B22" s="15"/>
      <c r="C22" s="15"/>
      <c r="D22" s="15"/>
      <c r="E22" s="15" t="s">
        <v>145</v>
      </c>
      <c r="F22" s="15">
        <f t="shared" si="0"/>
        <v>30</v>
      </c>
      <c r="G22" s="15">
        <v>30</v>
      </c>
      <c r="H22" s="56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</row>
    <row r="23" spans="1:20" ht="25.5" customHeight="1" x14ac:dyDescent="0.25">
      <c r="A23" s="59"/>
      <c r="B23" s="15"/>
      <c r="C23" s="15"/>
      <c r="D23" s="15"/>
      <c r="E23" s="15" t="s">
        <v>93</v>
      </c>
      <c r="F23" s="15">
        <f t="shared" si="0"/>
        <v>50</v>
      </c>
      <c r="G23" s="15">
        <v>50</v>
      </c>
      <c r="H23" s="56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</row>
    <row r="24" spans="1:20" ht="25.5" customHeight="1" x14ac:dyDescent="0.25">
      <c r="A24" s="59"/>
      <c r="B24" s="15"/>
      <c r="C24" s="15"/>
      <c r="D24" s="15"/>
      <c r="E24" s="15"/>
      <c r="F24" s="15">
        <f t="shared" si="0"/>
        <v>0</v>
      </c>
      <c r="G24" s="15"/>
      <c r="H24" s="56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</row>
    <row r="25" spans="1:20" ht="25.5" customHeight="1" x14ac:dyDescent="0.25">
      <c r="A25" s="59"/>
      <c r="B25" s="15"/>
      <c r="C25" s="15"/>
      <c r="D25" s="15"/>
      <c r="E25" s="15"/>
      <c r="F25" s="15">
        <f t="shared" si="0"/>
        <v>0</v>
      </c>
      <c r="G25" s="15"/>
      <c r="H25" s="56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</row>
    <row r="26" spans="1:20" ht="25.5" customHeight="1" x14ac:dyDescent="0.25">
      <c r="A26" s="59"/>
      <c r="B26" s="15"/>
      <c r="C26" s="15"/>
      <c r="D26" s="15"/>
      <c r="E26" s="15"/>
      <c r="F26" s="15">
        <f t="shared" si="0"/>
        <v>0</v>
      </c>
      <c r="G26" s="15"/>
      <c r="H26" s="56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</row>
    <row r="27" spans="1:20" ht="25.5" customHeight="1" x14ac:dyDescent="0.25">
      <c r="A27" s="59"/>
      <c r="B27" s="15"/>
      <c r="C27" s="15"/>
      <c r="D27" s="15"/>
      <c r="E27" s="15"/>
      <c r="F27" s="15">
        <f t="shared" si="0"/>
        <v>0</v>
      </c>
      <c r="G27" s="15"/>
      <c r="H27" s="56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</row>
    <row r="28" spans="1:20" ht="25.5" customHeight="1" x14ac:dyDescent="0.25">
      <c r="A28" s="59"/>
      <c r="B28" s="15"/>
      <c r="C28" s="15"/>
      <c r="D28" s="15"/>
      <c r="E28" s="15"/>
      <c r="F28" s="15">
        <f t="shared" si="0"/>
        <v>0</v>
      </c>
      <c r="G28" s="15"/>
      <c r="H28" s="56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</row>
    <row r="29" spans="1:20" ht="25.5" customHeight="1" x14ac:dyDescent="0.25">
      <c r="A29" s="59"/>
      <c r="B29" s="15"/>
      <c r="C29" s="15"/>
      <c r="D29" s="15"/>
      <c r="E29" s="15"/>
      <c r="F29" s="15">
        <f t="shared" si="0"/>
        <v>0</v>
      </c>
      <c r="G29" s="15"/>
      <c r="H29" s="56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</row>
    <row r="30" spans="1:20" ht="25.5" customHeight="1" x14ac:dyDescent="0.25">
      <c r="A30" s="59"/>
      <c r="B30" s="15"/>
      <c r="C30" s="15"/>
      <c r="D30" s="15"/>
      <c r="E30" s="15"/>
      <c r="F30" s="15">
        <f t="shared" si="0"/>
        <v>0</v>
      </c>
      <c r="G30" s="15"/>
      <c r="H30" s="56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</row>
    <row r="31" spans="1:20" ht="25.5" customHeight="1" x14ac:dyDescent="0.25">
      <c r="A31" s="59"/>
      <c r="B31" s="15"/>
      <c r="C31" s="15"/>
      <c r="D31" s="15"/>
      <c r="E31" s="15"/>
      <c r="F31" s="15">
        <f t="shared" si="0"/>
        <v>0</v>
      </c>
      <c r="G31" s="15"/>
      <c r="H31" s="56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</row>
    <row r="32" spans="1:20" ht="25.5" customHeight="1" x14ac:dyDescent="0.25">
      <c r="A32" s="59"/>
      <c r="B32" s="15"/>
      <c r="C32" s="15"/>
      <c r="D32" s="15"/>
      <c r="E32" s="15"/>
      <c r="F32" s="15">
        <f t="shared" si="0"/>
        <v>0</v>
      </c>
      <c r="G32" s="15"/>
      <c r="H32" s="56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</row>
    <row r="33" spans="1:20" ht="25.5" customHeight="1" x14ac:dyDescent="0.25">
      <c r="A33" s="59"/>
      <c r="B33" s="15"/>
      <c r="C33" s="15"/>
      <c r="D33" s="15"/>
      <c r="E33" s="15"/>
      <c r="F33" s="15">
        <f t="shared" si="0"/>
        <v>0</v>
      </c>
      <c r="G33" s="15"/>
      <c r="H33" s="56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</row>
    <row r="34" spans="1:20" ht="25.5" customHeight="1" x14ac:dyDescent="0.25">
      <c r="A34" s="59"/>
      <c r="B34" s="15"/>
      <c r="C34" s="15"/>
      <c r="D34" s="15"/>
      <c r="E34" s="15"/>
      <c r="F34" s="15">
        <f t="shared" si="0"/>
        <v>0</v>
      </c>
      <c r="G34" s="15"/>
      <c r="H34" s="56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</row>
    <row r="35" spans="1:20" ht="25.5" customHeight="1" x14ac:dyDescent="0.25">
      <c r="A35" s="59"/>
      <c r="B35" s="15"/>
      <c r="C35" s="15"/>
      <c r="D35" s="15"/>
      <c r="E35" s="15"/>
      <c r="F35" s="15">
        <f t="shared" si="0"/>
        <v>0</v>
      </c>
      <c r="G35" s="15"/>
      <c r="H35" s="56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</row>
    <row r="36" spans="1:20" ht="25.5" customHeight="1" x14ac:dyDescent="0.25">
      <c r="A36" s="59"/>
      <c r="B36" s="15"/>
      <c r="C36" s="15"/>
      <c r="D36" s="15"/>
      <c r="E36" s="15"/>
      <c r="F36" s="15">
        <f t="shared" si="0"/>
        <v>0</v>
      </c>
      <c r="G36" s="15"/>
      <c r="H36" s="56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</row>
    <row r="37" spans="1:20" ht="25.5" customHeight="1" x14ac:dyDescent="0.25">
      <c r="A37" s="59"/>
      <c r="B37" s="15"/>
      <c r="C37" s="15"/>
      <c r="D37" s="15"/>
      <c r="E37" s="15"/>
      <c r="F37" s="15">
        <f t="shared" si="0"/>
        <v>0</v>
      </c>
      <c r="G37" s="15"/>
      <c r="H37" s="56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</row>
    <row r="38" spans="1:20" ht="25.5" customHeight="1" x14ac:dyDescent="0.25">
      <c r="A38" s="59"/>
      <c r="B38" s="15"/>
      <c r="C38" s="15"/>
      <c r="D38" s="15"/>
      <c r="E38" s="15"/>
      <c r="F38" s="15">
        <f t="shared" si="0"/>
        <v>0</v>
      </c>
      <c r="G38" s="15"/>
      <c r="H38" s="56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</row>
    <row r="39" spans="1:20" ht="41.25" customHeight="1" x14ac:dyDescent="0.25">
      <c r="A39" s="161" t="s">
        <v>6</v>
      </c>
      <c r="B39" s="161"/>
      <c r="C39" s="161"/>
      <c r="D39" s="15">
        <f>SUM(D4:D38)</f>
        <v>6854</v>
      </c>
      <c r="E39" s="55"/>
      <c r="F39" s="15">
        <f>SUM(F4:F38)</f>
        <v>2547</v>
      </c>
      <c r="G39" s="15">
        <f t="shared" ref="G39:T39" si="1">SUM(G4:G38)</f>
        <v>1420</v>
      </c>
      <c r="H39" s="56">
        <f t="shared" si="1"/>
        <v>75</v>
      </c>
      <c r="I39" s="15">
        <f t="shared" si="1"/>
        <v>0</v>
      </c>
      <c r="J39" s="15">
        <f t="shared" si="1"/>
        <v>0</v>
      </c>
      <c r="K39" s="15">
        <f t="shared" si="1"/>
        <v>0</v>
      </c>
      <c r="L39" s="15">
        <f t="shared" si="1"/>
        <v>135</v>
      </c>
      <c r="M39" s="15">
        <f t="shared" si="1"/>
        <v>20</v>
      </c>
      <c r="N39" s="15">
        <f t="shared" si="1"/>
        <v>17</v>
      </c>
      <c r="O39" s="15">
        <f t="shared" si="1"/>
        <v>0</v>
      </c>
      <c r="P39" s="15">
        <f t="shared" si="1"/>
        <v>10</v>
      </c>
      <c r="Q39" s="15">
        <f t="shared" si="1"/>
        <v>0</v>
      </c>
      <c r="R39" s="15">
        <f t="shared" si="1"/>
        <v>500</v>
      </c>
      <c r="S39" s="15">
        <f t="shared" si="1"/>
        <v>0</v>
      </c>
      <c r="T39" s="15">
        <f t="shared" si="1"/>
        <v>370</v>
      </c>
    </row>
    <row r="40" spans="1:20" ht="15.75" thickBot="1" x14ac:dyDescent="0.3"/>
    <row r="41" spans="1:20" ht="30.75" customHeight="1" thickTop="1" thickBot="1" x14ac:dyDescent="0.3">
      <c r="E41" s="2" t="s">
        <v>26</v>
      </c>
      <c r="F41" s="3" t="s">
        <v>27</v>
      </c>
      <c r="G41" s="4" t="s">
        <v>28</v>
      </c>
    </row>
    <row r="42" spans="1:20" ht="48.75" customHeight="1" thickTop="1" x14ac:dyDescent="0.25">
      <c r="A42" s="2" t="s">
        <v>19</v>
      </c>
      <c r="B42" s="6">
        <f>+D39</f>
        <v>6854</v>
      </c>
      <c r="C42" s="7"/>
      <c r="E42" s="5">
        <v>200</v>
      </c>
      <c r="F42" s="6">
        <v>1</v>
      </c>
      <c r="G42" s="7">
        <f>+E42*F42</f>
        <v>200</v>
      </c>
    </row>
    <row r="43" spans="1:20" ht="46.5" customHeight="1" x14ac:dyDescent="0.25">
      <c r="A43" s="9" t="s">
        <v>20</v>
      </c>
      <c r="B43" s="6">
        <f>D8</f>
        <v>4027</v>
      </c>
      <c r="C43" s="7"/>
      <c r="E43" s="5">
        <v>100</v>
      </c>
      <c r="F43" s="6"/>
      <c r="G43" s="7">
        <f t="shared" ref="G43:G45" si="2">+E43*F43</f>
        <v>0</v>
      </c>
    </row>
    <row r="44" spans="1:20" ht="46.5" customHeight="1" x14ac:dyDescent="0.25">
      <c r="A44" s="9" t="s">
        <v>21</v>
      </c>
      <c r="B44" s="6">
        <f>F39</f>
        <v>2547</v>
      </c>
      <c r="C44" s="7"/>
      <c r="E44" s="5">
        <v>50</v>
      </c>
      <c r="F44" s="6">
        <v>1</v>
      </c>
      <c r="G44" s="7">
        <f t="shared" si="2"/>
        <v>50</v>
      </c>
    </row>
    <row r="45" spans="1:20" ht="51.75" customHeight="1" x14ac:dyDescent="0.25">
      <c r="A45" s="9" t="s">
        <v>22</v>
      </c>
      <c r="B45" s="11">
        <f>+B42-B43-B44</f>
        <v>280</v>
      </c>
      <c r="C45" s="12"/>
      <c r="E45" s="5">
        <v>20</v>
      </c>
      <c r="F45" s="6">
        <v>2</v>
      </c>
      <c r="G45" s="7">
        <f t="shared" si="2"/>
        <v>40</v>
      </c>
    </row>
    <row r="46" spans="1:20" ht="46.5" customHeight="1" x14ac:dyDescent="0.25">
      <c r="A46" s="9" t="s">
        <v>23</v>
      </c>
      <c r="B46" s="11">
        <f>G49</f>
        <v>290</v>
      </c>
      <c r="C46" s="12"/>
      <c r="D46" s="1"/>
      <c r="E46" s="5">
        <v>10</v>
      </c>
      <c r="F46" s="6"/>
      <c r="G46" s="7">
        <f>+E46*F46</f>
        <v>0</v>
      </c>
    </row>
    <row r="47" spans="1:20" ht="34.5" customHeight="1" x14ac:dyDescent="0.25">
      <c r="A47" s="9" t="s">
        <v>24</v>
      </c>
      <c r="B47" s="11">
        <f>IF(B45&lt;B46,B46-B45,0)</f>
        <v>10</v>
      </c>
      <c r="C47" s="12"/>
      <c r="E47" s="5">
        <v>5</v>
      </c>
      <c r="F47" s="6"/>
      <c r="G47" s="7">
        <f>+E47*F47</f>
        <v>0</v>
      </c>
    </row>
    <row r="48" spans="1:20" ht="36.75" customHeight="1" x14ac:dyDescent="0.25">
      <c r="A48" s="9" t="s">
        <v>7</v>
      </c>
      <c r="B48" s="11">
        <f>IF(B45&gt;B46,B45-B46,0)</f>
        <v>0</v>
      </c>
      <c r="C48" s="12"/>
      <c r="E48" s="5">
        <v>1</v>
      </c>
      <c r="F48" s="6"/>
      <c r="G48" s="7">
        <f>+E48*F48</f>
        <v>0</v>
      </c>
    </row>
    <row r="49" spans="1:7" ht="30" customHeight="1" thickBot="1" x14ac:dyDescent="0.35">
      <c r="A49" s="10" t="s">
        <v>29</v>
      </c>
      <c r="B49" s="13" t="b">
        <f>B45=B46</f>
        <v>0</v>
      </c>
      <c r="C49" s="14"/>
      <c r="E49" s="159" t="s">
        <v>25</v>
      </c>
      <c r="F49" s="160"/>
      <c r="G49" s="8">
        <f>SUM(G42:G48)</f>
        <v>290</v>
      </c>
    </row>
    <row r="50" spans="1:7" ht="15.75" thickTop="1" x14ac:dyDescent="0.25"/>
  </sheetData>
  <mergeCells count="3">
    <mergeCell ref="E49:F49"/>
    <mergeCell ref="E2:L2"/>
    <mergeCell ref="A39:C3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37" orientation="landscape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0"/>
  <sheetViews>
    <sheetView rightToLeft="1" topLeftCell="A44" zoomScale="75" zoomScaleNormal="75" workbookViewId="0">
      <selection activeCell="E38" sqref="E38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4.14062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6.28515625" bestFit="1" customWidth="1"/>
    <col min="16" max="16" width="16" bestFit="1" customWidth="1"/>
    <col min="18" max="18" width="15.85546875" bestFit="1" customWidth="1"/>
    <col min="19" max="19" width="14" customWidth="1"/>
    <col min="20" max="20" width="10.140625" customWidth="1"/>
  </cols>
  <sheetData>
    <row r="1" spans="1:20" ht="15.75" hidden="1" thickBot="1" x14ac:dyDescent="0.3"/>
    <row r="2" spans="1:20" ht="25.5" customHeight="1" thickBot="1" x14ac:dyDescent="0.3">
      <c r="A2" s="50" t="s">
        <v>0</v>
      </c>
      <c r="B2" s="51"/>
      <c r="C2" s="51"/>
      <c r="D2" s="52"/>
      <c r="E2" s="157">
        <f ca="1">TODAY()</f>
        <v>45118</v>
      </c>
      <c r="F2" s="158"/>
      <c r="G2" s="158"/>
      <c r="H2" s="158"/>
      <c r="I2" s="158"/>
      <c r="J2" s="158"/>
      <c r="K2" s="158"/>
      <c r="L2" s="158"/>
      <c r="M2" s="53"/>
      <c r="N2" s="53"/>
      <c r="O2" s="53"/>
      <c r="P2" s="53"/>
      <c r="Q2" s="53"/>
      <c r="R2" s="53"/>
      <c r="S2" s="53"/>
      <c r="T2" s="53"/>
    </row>
    <row r="3" spans="1:20" ht="36.75" customHeight="1" x14ac:dyDescent="0.25">
      <c r="A3" s="54" t="s">
        <v>4</v>
      </c>
      <c r="B3" s="54" t="s">
        <v>3</v>
      </c>
      <c r="C3" s="54" t="s">
        <v>1</v>
      </c>
      <c r="D3" s="54" t="s">
        <v>2</v>
      </c>
      <c r="E3" s="54" t="s">
        <v>1</v>
      </c>
      <c r="F3" s="54" t="s">
        <v>13</v>
      </c>
      <c r="G3" s="54" t="s">
        <v>5</v>
      </c>
      <c r="H3" s="57" t="s">
        <v>8</v>
      </c>
      <c r="I3" s="18" t="s">
        <v>9</v>
      </c>
      <c r="J3" s="18" t="s">
        <v>10</v>
      </c>
      <c r="K3" s="18" t="s">
        <v>11</v>
      </c>
      <c r="L3" s="18" t="s">
        <v>12</v>
      </c>
      <c r="M3" s="18" t="s">
        <v>31</v>
      </c>
      <c r="N3" s="18" t="s">
        <v>45</v>
      </c>
      <c r="O3" s="18" t="s">
        <v>32</v>
      </c>
      <c r="P3" s="18" t="s">
        <v>34</v>
      </c>
      <c r="Q3" s="18" t="s">
        <v>35</v>
      </c>
      <c r="R3" s="18" t="s">
        <v>39</v>
      </c>
      <c r="S3" s="18" t="s">
        <v>38</v>
      </c>
      <c r="T3" s="19" t="s">
        <v>40</v>
      </c>
    </row>
    <row r="4" spans="1:20" ht="25.5" customHeight="1" x14ac:dyDescent="0.25">
      <c r="A4" s="59">
        <v>45098</v>
      </c>
      <c r="B4" s="15"/>
      <c r="C4" s="15" t="s">
        <v>14</v>
      </c>
      <c r="D4" s="15">
        <f>125+372</f>
        <v>497</v>
      </c>
      <c r="E4" s="15" t="s">
        <v>277</v>
      </c>
      <c r="F4" s="15">
        <f>SUM(G4:T4)</f>
        <v>65</v>
      </c>
      <c r="G4" s="15"/>
      <c r="H4" s="56">
        <v>65</v>
      </c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</row>
    <row r="5" spans="1:20" ht="25.5" customHeight="1" x14ac:dyDescent="0.25">
      <c r="A5" s="59">
        <v>45098</v>
      </c>
      <c r="B5" s="15"/>
      <c r="C5" s="15" t="s">
        <v>15</v>
      </c>
      <c r="D5" s="15">
        <f>724+1450</f>
        <v>2174</v>
      </c>
      <c r="E5" s="15" t="s">
        <v>68</v>
      </c>
      <c r="F5" s="15">
        <f t="shared" ref="F5:F38" si="0">SUM(G5:T5)</f>
        <v>180</v>
      </c>
      <c r="G5" s="15"/>
      <c r="H5" s="56"/>
      <c r="I5" s="15"/>
      <c r="J5" s="15"/>
      <c r="K5" s="15"/>
      <c r="L5" s="15">
        <f>90+45+45</f>
        <v>180</v>
      </c>
      <c r="M5" s="15"/>
      <c r="N5" s="15"/>
      <c r="O5" s="15"/>
      <c r="P5" s="15"/>
      <c r="Q5" s="15"/>
      <c r="R5" s="15"/>
      <c r="S5" s="15"/>
      <c r="T5" s="15"/>
    </row>
    <row r="6" spans="1:20" ht="25.5" customHeight="1" x14ac:dyDescent="0.25">
      <c r="A6" s="59">
        <v>45098</v>
      </c>
      <c r="B6" s="15"/>
      <c r="C6" s="15" t="s">
        <v>16</v>
      </c>
      <c r="D6" s="15">
        <v>0</v>
      </c>
      <c r="E6" s="15" t="s">
        <v>112</v>
      </c>
      <c r="F6" s="15">
        <f t="shared" si="0"/>
        <v>250</v>
      </c>
      <c r="G6" s="15"/>
      <c r="H6" s="56"/>
      <c r="I6" s="15"/>
      <c r="J6" s="15"/>
      <c r="K6" s="15"/>
      <c r="L6" s="15"/>
      <c r="M6" s="15"/>
      <c r="N6" s="15"/>
      <c r="O6" s="15"/>
      <c r="P6" s="15"/>
      <c r="Q6" s="15"/>
      <c r="R6" s="15">
        <v>250</v>
      </c>
      <c r="S6" s="15"/>
      <c r="T6" s="15"/>
    </row>
    <row r="7" spans="1:20" ht="25.5" customHeight="1" x14ac:dyDescent="0.25">
      <c r="A7" s="59">
        <v>45098</v>
      </c>
      <c r="B7" s="15"/>
      <c r="C7" s="15" t="s">
        <v>17</v>
      </c>
      <c r="D7" s="15">
        <f>25+357</f>
        <v>382</v>
      </c>
      <c r="E7" s="15" t="s">
        <v>278</v>
      </c>
      <c r="F7" s="15">
        <f t="shared" si="0"/>
        <v>30</v>
      </c>
      <c r="G7" s="15"/>
      <c r="H7" s="56"/>
      <c r="I7" s="15"/>
      <c r="J7" s="15"/>
      <c r="K7" s="15"/>
      <c r="L7" s="15"/>
      <c r="M7" s="15">
        <v>30</v>
      </c>
      <c r="N7" s="15"/>
      <c r="O7" s="15"/>
      <c r="P7" s="15"/>
      <c r="Q7" s="15"/>
      <c r="R7" s="15"/>
      <c r="S7" s="15"/>
      <c r="T7" s="15"/>
    </row>
    <row r="8" spans="1:20" ht="25.5" customHeight="1" x14ac:dyDescent="0.25">
      <c r="A8" s="59">
        <v>45098</v>
      </c>
      <c r="B8" s="15"/>
      <c r="C8" s="15" t="s">
        <v>18</v>
      </c>
      <c r="D8" s="15">
        <f>270+715+1000+300+100+40+25+100+90+25+119+80</f>
        <v>2864</v>
      </c>
      <c r="E8" s="15" t="s">
        <v>73</v>
      </c>
      <c r="F8" s="15">
        <f t="shared" si="0"/>
        <v>170</v>
      </c>
      <c r="G8" s="15">
        <v>170</v>
      </c>
      <c r="H8" s="56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ht="25.5" customHeight="1" x14ac:dyDescent="0.25">
      <c r="A9" s="59">
        <v>45098</v>
      </c>
      <c r="B9" s="15"/>
      <c r="C9" s="15" t="s">
        <v>30</v>
      </c>
      <c r="D9" s="15">
        <v>0</v>
      </c>
      <c r="E9" s="15" t="s">
        <v>74</v>
      </c>
      <c r="F9" s="15">
        <f t="shared" si="0"/>
        <v>160</v>
      </c>
      <c r="G9" s="15">
        <v>160</v>
      </c>
      <c r="H9" s="56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</row>
    <row r="10" spans="1:20" ht="25.5" customHeight="1" x14ac:dyDescent="0.25">
      <c r="A10" s="59">
        <v>45098</v>
      </c>
      <c r="B10" s="15"/>
      <c r="C10" s="15" t="s">
        <v>46</v>
      </c>
      <c r="D10" s="15">
        <v>0</v>
      </c>
      <c r="E10" s="15" t="s">
        <v>117</v>
      </c>
      <c r="F10" s="15">
        <f t="shared" si="0"/>
        <v>150</v>
      </c>
      <c r="G10" s="15">
        <v>150</v>
      </c>
      <c r="H10" s="56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ht="25.5" customHeight="1" x14ac:dyDescent="0.25">
      <c r="A11" s="59">
        <v>45098</v>
      </c>
      <c r="B11" s="15"/>
      <c r="C11" s="15"/>
      <c r="D11" s="15"/>
      <c r="E11" s="15" t="s">
        <v>146</v>
      </c>
      <c r="F11" s="15">
        <f t="shared" si="0"/>
        <v>150</v>
      </c>
      <c r="G11" s="15">
        <v>150</v>
      </c>
      <c r="H11" s="56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</row>
    <row r="12" spans="1:20" ht="25.5" customHeight="1" x14ac:dyDescent="0.25">
      <c r="A12" s="59">
        <v>45098</v>
      </c>
      <c r="B12" s="15"/>
      <c r="C12" s="15"/>
      <c r="D12" s="15"/>
      <c r="E12" s="91" t="s">
        <v>79</v>
      </c>
      <c r="F12" s="15">
        <f t="shared" si="0"/>
        <v>50</v>
      </c>
      <c r="G12" s="15">
        <v>50</v>
      </c>
      <c r="H12" s="56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</row>
    <row r="13" spans="1:20" ht="25.5" customHeight="1" x14ac:dyDescent="0.25">
      <c r="A13" s="59">
        <v>45098</v>
      </c>
      <c r="B13" s="15"/>
      <c r="C13" s="15"/>
      <c r="D13" s="15"/>
      <c r="E13" s="15" t="s">
        <v>121</v>
      </c>
      <c r="F13" s="15">
        <f t="shared" si="0"/>
        <v>160</v>
      </c>
      <c r="G13" s="15">
        <v>160</v>
      </c>
      <c r="H13" s="56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ht="25.5" customHeight="1" x14ac:dyDescent="0.25">
      <c r="A14" s="59">
        <v>45098</v>
      </c>
      <c r="B14" s="15"/>
      <c r="C14" s="15"/>
      <c r="D14" s="15"/>
      <c r="E14" s="15" t="s">
        <v>145</v>
      </c>
      <c r="F14" s="15">
        <f t="shared" si="0"/>
        <v>30</v>
      </c>
      <c r="G14" s="15">
        <v>30</v>
      </c>
      <c r="H14" s="56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ht="25.5" customHeight="1" x14ac:dyDescent="0.25">
      <c r="A15" s="59">
        <v>45098</v>
      </c>
      <c r="B15" s="15"/>
      <c r="C15" s="15"/>
      <c r="D15" s="15"/>
      <c r="E15" s="15" t="s">
        <v>127</v>
      </c>
      <c r="F15" s="15">
        <f t="shared" si="0"/>
        <v>200</v>
      </c>
      <c r="G15" s="15">
        <v>200</v>
      </c>
      <c r="H15" s="56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ht="25.5" customHeight="1" x14ac:dyDescent="0.25">
      <c r="A16" s="59">
        <v>45098</v>
      </c>
      <c r="B16" s="15"/>
      <c r="C16" s="15"/>
      <c r="D16" s="15"/>
      <c r="E16" s="15" t="s">
        <v>77</v>
      </c>
      <c r="F16" s="15">
        <f t="shared" si="0"/>
        <v>100</v>
      </c>
      <c r="G16" s="15">
        <v>100</v>
      </c>
      <c r="H16" s="56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</row>
    <row r="17" spans="1:20" ht="25.5" customHeight="1" x14ac:dyDescent="0.25">
      <c r="A17" s="59">
        <v>45098</v>
      </c>
      <c r="B17" s="15"/>
      <c r="C17" s="15"/>
      <c r="D17" s="15"/>
      <c r="E17" s="15" t="s">
        <v>100</v>
      </c>
      <c r="F17" s="15">
        <f t="shared" si="0"/>
        <v>150</v>
      </c>
      <c r="G17" s="15">
        <v>150</v>
      </c>
      <c r="H17" s="56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</row>
    <row r="18" spans="1:20" ht="25.5" customHeight="1" x14ac:dyDescent="0.25">
      <c r="A18" s="59"/>
      <c r="B18" s="15"/>
      <c r="C18" s="15"/>
      <c r="D18" s="15"/>
      <c r="E18" s="15" t="s">
        <v>120</v>
      </c>
      <c r="F18" s="15">
        <f t="shared" si="0"/>
        <v>50</v>
      </c>
      <c r="G18" s="15">
        <v>50</v>
      </c>
      <c r="H18" s="56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ht="25.5" customHeight="1" x14ac:dyDescent="0.25">
      <c r="A19" s="59"/>
      <c r="B19" s="15"/>
      <c r="C19" s="15"/>
      <c r="D19" s="15"/>
      <c r="E19" s="15" t="s">
        <v>110</v>
      </c>
      <c r="F19" s="15">
        <f t="shared" si="0"/>
        <v>100</v>
      </c>
      <c r="G19" s="15">
        <v>100</v>
      </c>
      <c r="H19" s="56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ht="25.5" customHeight="1" x14ac:dyDescent="0.25">
      <c r="A20" s="59"/>
      <c r="B20" s="15"/>
      <c r="C20" s="15"/>
      <c r="D20" s="15"/>
      <c r="E20" s="15" t="s">
        <v>83</v>
      </c>
      <c r="F20" s="15">
        <f t="shared" si="0"/>
        <v>30</v>
      </c>
      <c r="G20" s="15">
        <v>30</v>
      </c>
      <c r="H20" s="56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ht="25.5" customHeight="1" x14ac:dyDescent="0.25">
      <c r="A21" s="59"/>
      <c r="B21" s="15"/>
      <c r="C21" s="15"/>
      <c r="D21" s="15"/>
      <c r="E21" s="15" t="s">
        <v>84</v>
      </c>
      <c r="F21" s="15">
        <f t="shared" si="0"/>
        <v>170</v>
      </c>
      <c r="G21" s="15">
        <v>170</v>
      </c>
      <c r="H21" s="56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25.5" customHeight="1" x14ac:dyDescent="0.25">
      <c r="A22" s="59"/>
      <c r="B22" s="15"/>
      <c r="C22" s="15"/>
      <c r="D22" s="15"/>
      <c r="E22" s="91" t="s">
        <v>86</v>
      </c>
      <c r="F22" s="15">
        <f t="shared" si="0"/>
        <v>120</v>
      </c>
      <c r="G22" s="15">
        <v>120</v>
      </c>
      <c r="H22" s="56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</row>
    <row r="23" spans="1:20" ht="25.5" customHeight="1" x14ac:dyDescent="0.25">
      <c r="A23" s="59"/>
      <c r="B23" s="15"/>
      <c r="C23" s="15"/>
      <c r="D23" s="15"/>
      <c r="E23" s="15" t="s">
        <v>80</v>
      </c>
      <c r="F23" s="15">
        <f t="shared" si="0"/>
        <v>50</v>
      </c>
      <c r="G23" s="15">
        <v>50</v>
      </c>
      <c r="H23" s="56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</row>
    <row r="24" spans="1:20" ht="25.5" customHeight="1" x14ac:dyDescent="0.25">
      <c r="A24" s="59"/>
      <c r="B24" s="15"/>
      <c r="C24" s="15"/>
      <c r="D24" s="15"/>
      <c r="E24" s="15"/>
      <c r="F24" s="15">
        <f t="shared" si="0"/>
        <v>0</v>
      </c>
      <c r="G24" s="15"/>
      <c r="H24" s="56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</row>
    <row r="25" spans="1:20" ht="25.5" customHeight="1" x14ac:dyDescent="0.25">
      <c r="A25" s="59"/>
      <c r="B25" s="15"/>
      <c r="C25" s="15"/>
      <c r="D25" s="15"/>
      <c r="E25" s="15"/>
      <c r="F25" s="15">
        <f t="shared" si="0"/>
        <v>0</v>
      </c>
      <c r="G25" s="15"/>
      <c r="H25" s="56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</row>
    <row r="26" spans="1:20" ht="25.5" customHeight="1" x14ac:dyDescent="0.25">
      <c r="A26" s="59"/>
      <c r="B26" s="15"/>
      <c r="C26" s="15"/>
      <c r="D26" s="15"/>
      <c r="E26" s="15"/>
      <c r="F26" s="15">
        <f t="shared" si="0"/>
        <v>0</v>
      </c>
      <c r="G26" s="15"/>
      <c r="H26" s="56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</row>
    <row r="27" spans="1:20" ht="25.5" customHeight="1" x14ac:dyDescent="0.25">
      <c r="A27" s="59"/>
      <c r="B27" s="15"/>
      <c r="C27" s="15"/>
      <c r="D27" s="15"/>
      <c r="E27" s="15"/>
      <c r="F27" s="15">
        <f t="shared" si="0"/>
        <v>0</v>
      </c>
      <c r="G27" s="15"/>
      <c r="H27" s="56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</row>
    <row r="28" spans="1:20" ht="25.5" customHeight="1" x14ac:dyDescent="0.25">
      <c r="A28" s="59"/>
      <c r="B28" s="15"/>
      <c r="C28" s="15"/>
      <c r="D28" s="15"/>
      <c r="E28" s="15"/>
      <c r="F28" s="15">
        <f t="shared" si="0"/>
        <v>0</v>
      </c>
      <c r="G28" s="15"/>
      <c r="H28" s="56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</row>
    <row r="29" spans="1:20" ht="25.5" customHeight="1" x14ac:dyDescent="0.25">
      <c r="A29" s="59"/>
      <c r="B29" s="15"/>
      <c r="C29" s="15"/>
      <c r="D29" s="15"/>
      <c r="E29" s="15"/>
      <c r="F29" s="15">
        <f t="shared" si="0"/>
        <v>0</v>
      </c>
      <c r="G29" s="15"/>
      <c r="H29" s="56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</row>
    <row r="30" spans="1:20" ht="25.5" customHeight="1" x14ac:dyDescent="0.25">
      <c r="A30" s="59"/>
      <c r="B30" s="15"/>
      <c r="C30" s="15"/>
      <c r="D30" s="15"/>
      <c r="E30" s="15"/>
      <c r="F30" s="15">
        <f t="shared" si="0"/>
        <v>0</v>
      </c>
      <c r="G30" s="15"/>
      <c r="H30" s="56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</row>
    <row r="31" spans="1:20" ht="25.5" customHeight="1" x14ac:dyDescent="0.25">
      <c r="A31" s="59"/>
      <c r="B31" s="15"/>
      <c r="C31" s="15"/>
      <c r="D31" s="15"/>
      <c r="E31" s="15"/>
      <c r="F31" s="15">
        <f t="shared" si="0"/>
        <v>0</v>
      </c>
      <c r="G31" s="15"/>
      <c r="H31" s="56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</row>
    <row r="32" spans="1:20" ht="25.5" customHeight="1" x14ac:dyDescent="0.25">
      <c r="A32" s="59"/>
      <c r="B32" s="15"/>
      <c r="C32" s="15"/>
      <c r="D32" s="15"/>
      <c r="E32" s="15"/>
      <c r="F32" s="15">
        <f t="shared" si="0"/>
        <v>0</v>
      </c>
      <c r="G32" s="15"/>
      <c r="H32" s="56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</row>
    <row r="33" spans="1:20" ht="25.5" customHeight="1" x14ac:dyDescent="0.25">
      <c r="A33" s="59"/>
      <c r="B33" s="15"/>
      <c r="C33" s="15"/>
      <c r="D33" s="15"/>
      <c r="E33" s="15"/>
      <c r="F33" s="15">
        <f t="shared" si="0"/>
        <v>0</v>
      </c>
      <c r="G33" s="15"/>
      <c r="H33" s="56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</row>
    <row r="34" spans="1:20" ht="25.5" customHeight="1" x14ac:dyDescent="0.25">
      <c r="A34" s="59"/>
      <c r="B34" s="15"/>
      <c r="C34" s="15"/>
      <c r="D34" s="15"/>
      <c r="E34" s="15"/>
      <c r="F34" s="15">
        <f t="shared" si="0"/>
        <v>0</v>
      </c>
      <c r="G34" s="15"/>
      <c r="H34" s="56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</row>
    <row r="35" spans="1:20" ht="25.5" customHeight="1" x14ac:dyDescent="0.25">
      <c r="A35" s="59"/>
      <c r="B35" s="15"/>
      <c r="C35" s="15"/>
      <c r="D35" s="15"/>
      <c r="E35" s="15"/>
      <c r="F35" s="15">
        <f t="shared" si="0"/>
        <v>0</v>
      </c>
      <c r="G35" s="15"/>
      <c r="H35" s="56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</row>
    <row r="36" spans="1:20" ht="25.5" customHeight="1" x14ac:dyDescent="0.25">
      <c r="A36" s="59"/>
      <c r="B36" s="15"/>
      <c r="C36" s="15"/>
      <c r="D36" s="15"/>
      <c r="E36" s="15"/>
      <c r="F36" s="15">
        <f t="shared" si="0"/>
        <v>0</v>
      </c>
      <c r="G36" s="15"/>
      <c r="H36" s="56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</row>
    <row r="37" spans="1:20" ht="25.5" customHeight="1" x14ac:dyDescent="0.25">
      <c r="A37" s="59"/>
      <c r="B37" s="15"/>
      <c r="C37" s="15"/>
      <c r="D37" s="15"/>
      <c r="E37" s="15"/>
      <c r="F37" s="15">
        <f t="shared" si="0"/>
        <v>0</v>
      </c>
      <c r="G37" s="15"/>
      <c r="H37" s="56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</row>
    <row r="38" spans="1:20" ht="25.5" customHeight="1" x14ac:dyDescent="0.25">
      <c r="A38" s="59"/>
      <c r="B38" s="15"/>
      <c r="C38" s="15"/>
      <c r="D38" s="15"/>
      <c r="E38" s="15"/>
      <c r="F38" s="15">
        <f t="shared" si="0"/>
        <v>0</v>
      </c>
      <c r="G38" s="15"/>
      <c r="H38" s="56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</row>
    <row r="39" spans="1:20" ht="41.25" customHeight="1" x14ac:dyDescent="0.25">
      <c r="A39" s="161" t="s">
        <v>6</v>
      </c>
      <c r="B39" s="161"/>
      <c r="C39" s="161"/>
      <c r="D39" s="15">
        <f>SUM(D4:D38)</f>
        <v>5917</v>
      </c>
      <c r="E39" s="55"/>
      <c r="F39" s="15">
        <f>SUM(F4:F38)</f>
        <v>2365</v>
      </c>
      <c r="G39" s="15">
        <f t="shared" ref="G39:T39" si="1">SUM(G4:G38)</f>
        <v>1840</v>
      </c>
      <c r="H39" s="56">
        <f t="shared" si="1"/>
        <v>65</v>
      </c>
      <c r="I39" s="15">
        <f t="shared" si="1"/>
        <v>0</v>
      </c>
      <c r="J39" s="15">
        <f t="shared" si="1"/>
        <v>0</v>
      </c>
      <c r="K39" s="15">
        <f t="shared" si="1"/>
        <v>0</v>
      </c>
      <c r="L39" s="15">
        <f t="shared" si="1"/>
        <v>180</v>
      </c>
      <c r="M39" s="15">
        <f t="shared" si="1"/>
        <v>30</v>
      </c>
      <c r="N39" s="15">
        <f t="shared" si="1"/>
        <v>0</v>
      </c>
      <c r="O39" s="15">
        <f t="shared" si="1"/>
        <v>0</v>
      </c>
      <c r="P39" s="15">
        <f t="shared" si="1"/>
        <v>0</v>
      </c>
      <c r="Q39" s="15">
        <f t="shared" si="1"/>
        <v>0</v>
      </c>
      <c r="R39" s="15">
        <f t="shared" si="1"/>
        <v>250</v>
      </c>
      <c r="S39" s="15">
        <f t="shared" si="1"/>
        <v>0</v>
      </c>
      <c r="T39" s="15">
        <f t="shared" si="1"/>
        <v>0</v>
      </c>
    </row>
    <row r="40" spans="1:20" ht="15.75" thickBot="1" x14ac:dyDescent="0.3"/>
    <row r="41" spans="1:20" ht="30.75" customHeight="1" thickTop="1" thickBot="1" x14ac:dyDescent="0.3">
      <c r="E41" s="2" t="s">
        <v>26</v>
      </c>
      <c r="F41" s="3" t="s">
        <v>27</v>
      </c>
      <c r="G41" s="4" t="s">
        <v>28</v>
      </c>
    </row>
    <row r="42" spans="1:20" ht="48.75" customHeight="1" thickTop="1" x14ac:dyDescent="0.25">
      <c r="A42" s="2" t="s">
        <v>19</v>
      </c>
      <c r="B42" s="6">
        <f>+D39</f>
        <v>5917</v>
      </c>
      <c r="C42" s="7"/>
      <c r="E42" s="5">
        <v>200</v>
      </c>
      <c r="F42" s="6">
        <v>1</v>
      </c>
      <c r="G42" s="7">
        <f>+E42*F42</f>
        <v>200</v>
      </c>
    </row>
    <row r="43" spans="1:20" ht="46.5" customHeight="1" x14ac:dyDescent="0.25">
      <c r="A43" s="9" t="s">
        <v>20</v>
      </c>
      <c r="B43" s="6">
        <f>D8</f>
        <v>2864</v>
      </c>
      <c r="C43" s="7"/>
      <c r="E43" s="5">
        <v>100</v>
      </c>
      <c r="F43" s="6">
        <v>2</v>
      </c>
      <c r="G43" s="7">
        <f t="shared" ref="G43:G45" si="2">+E43*F43</f>
        <v>200</v>
      </c>
    </row>
    <row r="44" spans="1:20" ht="46.5" customHeight="1" x14ac:dyDescent="0.25">
      <c r="A44" s="9" t="s">
        <v>21</v>
      </c>
      <c r="B44" s="6">
        <f>F39</f>
        <v>2365</v>
      </c>
      <c r="C44" s="7"/>
      <c r="E44" s="5">
        <v>50</v>
      </c>
      <c r="F44" s="6"/>
      <c r="G44" s="7">
        <f t="shared" si="2"/>
        <v>0</v>
      </c>
    </row>
    <row r="45" spans="1:20" ht="51.75" customHeight="1" x14ac:dyDescent="0.25">
      <c r="A45" s="9" t="s">
        <v>22</v>
      </c>
      <c r="B45" s="11">
        <f>+B42-B43-B44</f>
        <v>688</v>
      </c>
      <c r="C45" s="12"/>
      <c r="E45" s="5">
        <v>20</v>
      </c>
      <c r="F45" s="6"/>
      <c r="G45" s="7">
        <f t="shared" si="2"/>
        <v>0</v>
      </c>
    </row>
    <row r="46" spans="1:20" ht="46.5" customHeight="1" x14ac:dyDescent="0.25">
      <c r="A46" s="9" t="s">
        <v>23</v>
      </c>
      <c r="B46" s="11">
        <f>G49</f>
        <v>400</v>
      </c>
      <c r="C46" s="12"/>
      <c r="D46" s="1"/>
      <c r="E46" s="5">
        <v>10</v>
      </c>
      <c r="F46" s="6"/>
      <c r="G46" s="7">
        <f>+E46*F46</f>
        <v>0</v>
      </c>
    </row>
    <row r="47" spans="1:20" ht="34.5" customHeight="1" x14ac:dyDescent="0.25">
      <c r="A47" s="9" t="s">
        <v>24</v>
      </c>
      <c r="B47" s="11">
        <f>IF(B45&lt;B46,B46-B45,0)</f>
        <v>0</v>
      </c>
      <c r="C47" s="12"/>
      <c r="E47" s="5">
        <v>5</v>
      </c>
      <c r="F47" s="6"/>
      <c r="G47" s="7">
        <f>+E47*F47</f>
        <v>0</v>
      </c>
    </row>
    <row r="48" spans="1:20" ht="36.75" customHeight="1" x14ac:dyDescent="0.25">
      <c r="A48" s="9" t="s">
        <v>7</v>
      </c>
      <c r="B48" s="11">
        <f>IF(B45&gt;B46,B45-B46,0)</f>
        <v>288</v>
      </c>
      <c r="C48" s="12"/>
      <c r="E48" s="5">
        <v>1</v>
      </c>
      <c r="F48" s="6"/>
      <c r="G48" s="7">
        <f>+E48*F48</f>
        <v>0</v>
      </c>
    </row>
    <row r="49" spans="1:7" ht="30" customHeight="1" thickBot="1" x14ac:dyDescent="0.35">
      <c r="A49" s="10" t="s">
        <v>29</v>
      </c>
      <c r="B49" s="13" t="b">
        <f>B45=B46</f>
        <v>0</v>
      </c>
      <c r="C49" s="14"/>
      <c r="E49" s="159" t="s">
        <v>25</v>
      </c>
      <c r="F49" s="160"/>
      <c r="G49" s="8">
        <f>SUM(G42:G48)</f>
        <v>400</v>
      </c>
    </row>
    <row r="50" spans="1:7" ht="15.75" thickTop="1" x14ac:dyDescent="0.25"/>
  </sheetData>
  <mergeCells count="3">
    <mergeCell ref="E49:F49"/>
    <mergeCell ref="E2:L2"/>
    <mergeCell ref="A39:C3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37" orientation="landscape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0"/>
  <sheetViews>
    <sheetView rightToLeft="1" topLeftCell="A44" workbookViewId="0">
      <selection activeCell="F53" sqref="F53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4.14062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6" bestFit="1" customWidth="1"/>
    <col min="16" max="16" width="15.7109375" bestFit="1" customWidth="1"/>
    <col min="18" max="18" width="15.85546875" bestFit="1" customWidth="1"/>
    <col min="19" max="19" width="14" customWidth="1"/>
    <col min="20" max="20" width="10.140625" customWidth="1"/>
  </cols>
  <sheetData>
    <row r="1" spans="1:20" ht="15.75" hidden="1" thickBot="1" x14ac:dyDescent="0.3"/>
    <row r="2" spans="1:20" ht="25.5" customHeight="1" thickBot="1" x14ac:dyDescent="0.3">
      <c r="A2" s="50" t="s">
        <v>0</v>
      </c>
      <c r="B2" s="51"/>
      <c r="C2" s="51"/>
      <c r="D2" s="52"/>
      <c r="E2" s="157">
        <f ca="1">TODAY()</f>
        <v>45118</v>
      </c>
      <c r="F2" s="158"/>
      <c r="G2" s="158"/>
      <c r="H2" s="158"/>
      <c r="I2" s="158"/>
      <c r="J2" s="158"/>
      <c r="K2" s="158"/>
      <c r="L2" s="158"/>
      <c r="M2" s="53"/>
      <c r="N2" s="53"/>
      <c r="O2" s="53"/>
      <c r="P2" s="53"/>
      <c r="Q2" s="53"/>
      <c r="R2" s="53"/>
      <c r="S2" s="53"/>
      <c r="T2" s="53"/>
    </row>
    <row r="3" spans="1:20" ht="36.75" customHeight="1" x14ac:dyDescent="0.25">
      <c r="A3" s="54" t="s">
        <v>4</v>
      </c>
      <c r="B3" s="54" t="s">
        <v>3</v>
      </c>
      <c r="C3" s="54" t="s">
        <v>1</v>
      </c>
      <c r="D3" s="54" t="s">
        <v>2</v>
      </c>
      <c r="E3" s="54" t="s">
        <v>1</v>
      </c>
      <c r="F3" s="54" t="s">
        <v>13</v>
      </c>
      <c r="G3" s="54" t="s">
        <v>5</v>
      </c>
      <c r="H3" s="57" t="s">
        <v>8</v>
      </c>
      <c r="I3" s="18" t="s">
        <v>9</v>
      </c>
      <c r="J3" s="18" t="s">
        <v>10</v>
      </c>
      <c r="K3" s="18" t="s">
        <v>11</v>
      </c>
      <c r="L3" s="18" t="s">
        <v>12</v>
      </c>
      <c r="M3" s="18" t="s">
        <v>31</v>
      </c>
      <c r="N3" s="18" t="s">
        <v>45</v>
      </c>
      <c r="O3" s="18" t="s">
        <v>32</v>
      </c>
      <c r="P3" s="18" t="s">
        <v>34</v>
      </c>
      <c r="Q3" s="18" t="s">
        <v>35</v>
      </c>
      <c r="R3" s="18" t="s">
        <v>39</v>
      </c>
      <c r="S3" s="18" t="s">
        <v>38</v>
      </c>
      <c r="T3" s="19" t="s">
        <v>40</v>
      </c>
    </row>
    <row r="4" spans="1:20" ht="25.5" customHeight="1" x14ac:dyDescent="0.25">
      <c r="A4" s="59">
        <v>45099</v>
      </c>
      <c r="B4" s="15"/>
      <c r="C4" s="15" t="s">
        <v>14</v>
      </c>
      <c r="D4" s="15">
        <v>970</v>
      </c>
      <c r="E4" s="15" t="s">
        <v>282</v>
      </c>
      <c r="F4" s="15">
        <f>SUM(G4:T4)</f>
        <v>60</v>
      </c>
      <c r="G4" s="15"/>
      <c r="H4" s="56">
        <v>60</v>
      </c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</row>
    <row r="5" spans="1:20" ht="25.5" customHeight="1" x14ac:dyDescent="0.25">
      <c r="A5" s="59">
        <v>45099</v>
      </c>
      <c r="B5" s="15"/>
      <c r="C5" s="15" t="s">
        <v>15</v>
      </c>
      <c r="D5" s="15">
        <v>3080</v>
      </c>
      <c r="E5" s="15" t="s">
        <v>12</v>
      </c>
      <c r="F5" s="15">
        <f t="shared" ref="F5:F38" si="0">SUM(G5:T5)</f>
        <v>180</v>
      </c>
      <c r="G5" s="15"/>
      <c r="H5" s="56"/>
      <c r="I5" s="15"/>
      <c r="J5" s="15"/>
      <c r="K5" s="15"/>
      <c r="L5" s="15">
        <f>90+45+45</f>
        <v>180</v>
      </c>
      <c r="M5" s="15"/>
      <c r="N5" s="15"/>
      <c r="O5" s="15"/>
      <c r="P5" s="15"/>
      <c r="Q5" s="15"/>
      <c r="R5" s="15"/>
      <c r="S5" s="15"/>
      <c r="T5" s="15"/>
    </row>
    <row r="6" spans="1:20" ht="25.5" customHeight="1" x14ac:dyDescent="0.25">
      <c r="A6" s="59">
        <v>45099</v>
      </c>
      <c r="B6" s="15"/>
      <c r="C6" s="15" t="s">
        <v>16</v>
      </c>
      <c r="D6" s="15">
        <v>0</v>
      </c>
      <c r="E6" s="15" t="s">
        <v>283</v>
      </c>
      <c r="F6" s="15">
        <f t="shared" si="0"/>
        <v>1295</v>
      </c>
      <c r="G6" s="15"/>
      <c r="H6" s="56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>
        <v>1295</v>
      </c>
    </row>
    <row r="7" spans="1:20" ht="25.5" customHeight="1" x14ac:dyDescent="0.25">
      <c r="A7" s="59">
        <v>45099</v>
      </c>
      <c r="B7" s="15"/>
      <c r="C7" s="15" t="s">
        <v>17</v>
      </c>
      <c r="D7" s="15">
        <f>776</f>
        <v>776</v>
      </c>
      <c r="E7" s="15" t="s">
        <v>73</v>
      </c>
      <c r="F7" s="15">
        <f t="shared" si="0"/>
        <v>170</v>
      </c>
      <c r="G7" s="15">
        <v>170</v>
      </c>
      <c r="H7" s="56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</row>
    <row r="8" spans="1:20" ht="25.5" customHeight="1" x14ac:dyDescent="0.25">
      <c r="A8" s="59">
        <v>45099</v>
      </c>
      <c r="B8" s="15"/>
      <c r="C8" s="15" t="s">
        <v>18</v>
      </c>
      <c r="D8" s="15">
        <f>200+44+700+100+50+52+75</f>
        <v>1221</v>
      </c>
      <c r="E8" s="15" t="s">
        <v>76</v>
      </c>
      <c r="F8" s="15">
        <f t="shared" si="0"/>
        <v>150</v>
      </c>
      <c r="G8" s="15">
        <v>150</v>
      </c>
      <c r="H8" s="56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ht="25.5" customHeight="1" x14ac:dyDescent="0.25">
      <c r="A9" s="59">
        <v>45099</v>
      </c>
      <c r="B9" s="15"/>
      <c r="C9" s="15" t="s">
        <v>30</v>
      </c>
      <c r="D9" s="15">
        <v>0</v>
      </c>
      <c r="E9" s="15" t="s">
        <v>74</v>
      </c>
      <c r="F9" s="15">
        <f t="shared" si="0"/>
        <v>160</v>
      </c>
      <c r="G9" s="15">
        <v>160</v>
      </c>
      <c r="H9" s="56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</row>
    <row r="10" spans="1:20" ht="25.5" customHeight="1" x14ac:dyDescent="0.25">
      <c r="A10" s="59">
        <v>45099</v>
      </c>
      <c r="B10" s="15"/>
      <c r="C10" s="15" t="s">
        <v>46</v>
      </c>
      <c r="D10" s="15">
        <v>0</v>
      </c>
      <c r="E10" s="15" t="s">
        <v>146</v>
      </c>
      <c r="F10" s="15">
        <f t="shared" si="0"/>
        <v>150</v>
      </c>
      <c r="G10" s="15">
        <v>150</v>
      </c>
      <c r="H10" s="56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ht="25.5" customHeight="1" x14ac:dyDescent="0.25">
      <c r="A11" s="59">
        <v>45099</v>
      </c>
      <c r="B11" s="15"/>
      <c r="C11" s="15"/>
      <c r="D11" s="15"/>
      <c r="E11" s="15" t="s">
        <v>77</v>
      </c>
      <c r="F11" s="15">
        <f t="shared" si="0"/>
        <v>100</v>
      </c>
      <c r="G11" s="15">
        <v>100</v>
      </c>
      <c r="H11" s="56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</row>
    <row r="12" spans="1:20" ht="25.5" customHeight="1" x14ac:dyDescent="0.25">
      <c r="A12" s="59">
        <v>45099</v>
      </c>
      <c r="B12" s="15"/>
      <c r="C12" s="15"/>
      <c r="D12" s="15"/>
      <c r="E12" s="15" t="s">
        <v>121</v>
      </c>
      <c r="F12" s="15">
        <f t="shared" si="0"/>
        <v>160</v>
      </c>
      <c r="G12" s="15">
        <v>160</v>
      </c>
      <c r="H12" s="56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</row>
    <row r="13" spans="1:20" ht="25.5" customHeight="1" x14ac:dyDescent="0.25">
      <c r="A13" s="59">
        <v>45099</v>
      </c>
      <c r="B13" s="15"/>
      <c r="C13" s="15"/>
      <c r="D13" s="15"/>
      <c r="E13" s="15" t="s">
        <v>120</v>
      </c>
      <c r="F13" s="15">
        <f t="shared" si="0"/>
        <v>50</v>
      </c>
      <c r="G13" s="15">
        <v>50</v>
      </c>
      <c r="H13" s="56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ht="25.5" customHeight="1" x14ac:dyDescent="0.25">
      <c r="A14" s="59">
        <v>45099</v>
      </c>
      <c r="B14" s="15"/>
      <c r="C14" s="15"/>
      <c r="D14" s="15"/>
      <c r="E14" s="15" t="s">
        <v>83</v>
      </c>
      <c r="F14" s="15">
        <f t="shared" si="0"/>
        <v>30</v>
      </c>
      <c r="G14" s="15">
        <v>30</v>
      </c>
      <c r="H14" s="56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ht="25.5" customHeight="1" x14ac:dyDescent="0.25">
      <c r="A15" s="59"/>
      <c r="B15" s="15"/>
      <c r="C15" s="15"/>
      <c r="D15" s="15"/>
      <c r="E15" s="15" t="s">
        <v>145</v>
      </c>
      <c r="F15" s="15">
        <f t="shared" si="0"/>
        <v>30</v>
      </c>
      <c r="G15" s="15">
        <v>30</v>
      </c>
      <c r="H15" s="56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ht="25.5" customHeight="1" x14ac:dyDescent="0.25">
      <c r="A16" s="59"/>
      <c r="B16" s="15"/>
      <c r="C16" s="15"/>
      <c r="D16" s="15"/>
      <c r="E16" s="15" t="s">
        <v>127</v>
      </c>
      <c r="F16" s="15">
        <f t="shared" si="0"/>
        <v>200</v>
      </c>
      <c r="G16" s="15">
        <v>200</v>
      </c>
      <c r="H16" s="56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</row>
    <row r="17" spans="1:20" ht="25.5" customHeight="1" x14ac:dyDescent="0.25">
      <c r="A17" s="59"/>
      <c r="B17" s="15"/>
      <c r="C17" s="15"/>
      <c r="D17" s="15"/>
      <c r="E17" s="15" t="s">
        <v>84</v>
      </c>
      <c r="F17" s="15">
        <f t="shared" si="0"/>
        <v>170</v>
      </c>
      <c r="G17" s="15">
        <v>170</v>
      </c>
      <c r="H17" s="56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</row>
    <row r="18" spans="1:20" ht="25.5" customHeight="1" x14ac:dyDescent="0.25">
      <c r="A18" s="59"/>
      <c r="B18" s="15"/>
      <c r="C18" s="15"/>
      <c r="D18" s="15"/>
      <c r="E18" s="15" t="s">
        <v>100</v>
      </c>
      <c r="F18" s="15">
        <f t="shared" si="0"/>
        <v>150</v>
      </c>
      <c r="G18" s="15">
        <v>150</v>
      </c>
      <c r="H18" s="56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ht="25.5" customHeight="1" x14ac:dyDescent="0.25">
      <c r="A19" s="59"/>
      <c r="B19" s="15"/>
      <c r="C19" s="15"/>
      <c r="D19" s="15"/>
      <c r="E19" s="15" t="s">
        <v>86</v>
      </c>
      <c r="F19" s="15">
        <f t="shared" si="0"/>
        <v>120</v>
      </c>
      <c r="G19" s="15">
        <v>120</v>
      </c>
      <c r="H19" s="56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ht="25.5" customHeight="1" x14ac:dyDescent="0.25">
      <c r="A20" s="59"/>
      <c r="B20" s="15"/>
      <c r="C20" s="15"/>
      <c r="D20" s="15"/>
      <c r="E20" s="15" t="s">
        <v>110</v>
      </c>
      <c r="F20" s="15">
        <f t="shared" si="0"/>
        <v>100</v>
      </c>
      <c r="G20" s="15">
        <v>100</v>
      </c>
      <c r="H20" s="56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ht="25.5" customHeight="1" x14ac:dyDescent="0.25">
      <c r="A21" s="59"/>
      <c r="B21" s="15"/>
      <c r="C21" s="15"/>
      <c r="D21" s="15"/>
      <c r="E21" s="15" t="s">
        <v>80</v>
      </c>
      <c r="F21" s="15">
        <f t="shared" si="0"/>
        <v>50</v>
      </c>
      <c r="G21" s="15">
        <v>50</v>
      </c>
      <c r="H21" s="56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25.5" customHeight="1" x14ac:dyDescent="0.25">
      <c r="A22" s="59"/>
      <c r="B22" s="15"/>
      <c r="C22" s="15"/>
      <c r="D22" s="15"/>
      <c r="E22" s="15"/>
      <c r="F22" s="15">
        <f t="shared" si="0"/>
        <v>0</v>
      </c>
      <c r="G22" s="15"/>
      <c r="H22" s="56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</row>
    <row r="23" spans="1:20" ht="25.5" customHeight="1" x14ac:dyDescent="0.25">
      <c r="A23" s="59"/>
      <c r="B23" s="15"/>
      <c r="C23" s="15"/>
      <c r="D23" s="15"/>
      <c r="E23" s="15"/>
      <c r="F23" s="15">
        <f t="shared" si="0"/>
        <v>0</v>
      </c>
      <c r="G23" s="15"/>
      <c r="H23" s="56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</row>
    <row r="24" spans="1:20" ht="25.5" customHeight="1" x14ac:dyDescent="0.25">
      <c r="A24" s="59"/>
      <c r="B24" s="15"/>
      <c r="C24" s="15"/>
      <c r="D24" s="15"/>
      <c r="E24" s="15"/>
      <c r="F24" s="15">
        <f t="shared" si="0"/>
        <v>0</v>
      </c>
      <c r="G24" s="15"/>
      <c r="H24" s="56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</row>
    <row r="25" spans="1:20" ht="25.5" customHeight="1" x14ac:dyDescent="0.25">
      <c r="A25" s="59"/>
      <c r="B25" s="15"/>
      <c r="C25" s="15"/>
      <c r="D25" s="15"/>
      <c r="E25" s="15"/>
      <c r="F25" s="15">
        <f t="shared" si="0"/>
        <v>0</v>
      </c>
      <c r="G25" s="15"/>
      <c r="H25" s="56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</row>
    <row r="26" spans="1:20" ht="25.5" customHeight="1" x14ac:dyDescent="0.25">
      <c r="A26" s="59"/>
      <c r="B26" s="15"/>
      <c r="C26" s="15"/>
      <c r="D26" s="15"/>
      <c r="E26" s="15"/>
      <c r="F26" s="15">
        <f t="shared" si="0"/>
        <v>0</v>
      </c>
      <c r="G26" s="15"/>
      <c r="H26" s="56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</row>
    <row r="27" spans="1:20" ht="25.5" customHeight="1" x14ac:dyDescent="0.25">
      <c r="A27" s="59"/>
      <c r="B27" s="15"/>
      <c r="C27" s="15"/>
      <c r="D27" s="15"/>
      <c r="E27" s="15"/>
      <c r="F27" s="15">
        <f t="shared" si="0"/>
        <v>0</v>
      </c>
      <c r="G27" s="15"/>
      <c r="H27" s="56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</row>
    <row r="28" spans="1:20" ht="25.5" customHeight="1" x14ac:dyDescent="0.25">
      <c r="A28" s="59"/>
      <c r="B28" s="15"/>
      <c r="C28" s="15"/>
      <c r="D28" s="15"/>
      <c r="E28" s="15"/>
      <c r="F28" s="15">
        <f t="shared" si="0"/>
        <v>0</v>
      </c>
      <c r="G28" s="15"/>
      <c r="H28" s="56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</row>
    <row r="29" spans="1:20" ht="25.5" customHeight="1" x14ac:dyDescent="0.25">
      <c r="A29" s="59"/>
      <c r="B29" s="15"/>
      <c r="C29" s="15"/>
      <c r="D29" s="15"/>
      <c r="E29" s="15"/>
      <c r="F29" s="15">
        <f t="shared" si="0"/>
        <v>0</v>
      </c>
      <c r="G29" s="15"/>
      <c r="H29" s="56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</row>
    <row r="30" spans="1:20" ht="25.5" customHeight="1" x14ac:dyDescent="0.25">
      <c r="A30" s="59"/>
      <c r="B30" s="15"/>
      <c r="C30" s="15"/>
      <c r="D30" s="15"/>
      <c r="E30" s="15"/>
      <c r="F30" s="15">
        <f t="shared" si="0"/>
        <v>0</v>
      </c>
      <c r="G30" s="15"/>
      <c r="H30" s="56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</row>
    <row r="31" spans="1:20" ht="25.5" customHeight="1" x14ac:dyDescent="0.25">
      <c r="A31" s="59"/>
      <c r="B31" s="15"/>
      <c r="C31" s="15"/>
      <c r="D31" s="15"/>
      <c r="E31" s="15"/>
      <c r="F31" s="15">
        <f t="shared" si="0"/>
        <v>0</v>
      </c>
      <c r="G31" s="15"/>
      <c r="H31" s="56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</row>
    <row r="32" spans="1:20" ht="25.5" customHeight="1" x14ac:dyDescent="0.25">
      <c r="A32" s="59"/>
      <c r="B32" s="15"/>
      <c r="C32" s="15"/>
      <c r="D32" s="15"/>
      <c r="E32" s="15"/>
      <c r="F32" s="15">
        <f t="shared" si="0"/>
        <v>0</v>
      </c>
      <c r="G32" s="15"/>
      <c r="H32" s="56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</row>
    <row r="33" spans="1:20" ht="25.5" customHeight="1" x14ac:dyDescent="0.25">
      <c r="A33" s="59"/>
      <c r="B33" s="15"/>
      <c r="C33" s="15"/>
      <c r="D33" s="15"/>
      <c r="E33" s="15"/>
      <c r="F33" s="15">
        <f t="shared" si="0"/>
        <v>0</v>
      </c>
      <c r="G33" s="15"/>
      <c r="H33" s="56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</row>
    <row r="34" spans="1:20" ht="25.5" customHeight="1" x14ac:dyDescent="0.25">
      <c r="A34" s="59"/>
      <c r="B34" s="15"/>
      <c r="C34" s="15"/>
      <c r="D34" s="15"/>
      <c r="E34" s="15"/>
      <c r="F34" s="15">
        <f t="shared" si="0"/>
        <v>0</v>
      </c>
      <c r="G34" s="15"/>
      <c r="H34" s="56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</row>
    <row r="35" spans="1:20" ht="25.5" customHeight="1" x14ac:dyDescent="0.25">
      <c r="A35" s="59"/>
      <c r="B35" s="15"/>
      <c r="C35" s="15"/>
      <c r="D35" s="15"/>
      <c r="E35" s="15"/>
      <c r="F35" s="15">
        <f t="shared" si="0"/>
        <v>0</v>
      </c>
      <c r="G35" s="15"/>
      <c r="H35" s="56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</row>
    <row r="36" spans="1:20" ht="25.5" customHeight="1" x14ac:dyDescent="0.25">
      <c r="A36" s="59"/>
      <c r="B36" s="15"/>
      <c r="C36" s="15"/>
      <c r="D36" s="15"/>
      <c r="E36" s="15"/>
      <c r="F36" s="15">
        <f t="shared" si="0"/>
        <v>0</v>
      </c>
      <c r="G36" s="15"/>
      <c r="H36" s="56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</row>
    <row r="37" spans="1:20" ht="25.5" customHeight="1" x14ac:dyDescent="0.25">
      <c r="A37" s="59"/>
      <c r="B37" s="15"/>
      <c r="C37" s="15"/>
      <c r="D37" s="15"/>
      <c r="E37" s="15"/>
      <c r="F37" s="15">
        <f t="shared" si="0"/>
        <v>0</v>
      </c>
      <c r="G37" s="15"/>
      <c r="H37" s="56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</row>
    <row r="38" spans="1:20" ht="25.5" customHeight="1" x14ac:dyDescent="0.25">
      <c r="A38" s="59"/>
      <c r="B38" s="15"/>
      <c r="C38" s="15"/>
      <c r="D38" s="15"/>
      <c r="E38" s="15"/>
      <c r="F38" s="15">
        <f t="shared" si="0"/>
        <v>0</v>
      </c>
      <c r="G38" s="15"/>
      <c r="H38" s="56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</row>
    <row r="39" spans="1:20" ht="41.25" customHeight="1" x14ac:dyDescent="0.25">
      <c r="A39" s="161" t="s">
        <v>6</v>
      </c>
      <c r="B39" s="161"/>
      <c r="C39" s="161"/>
      <c r="D39" s="15">
        <f>SUM(D4:D38)</f>
        <v>6047</v>
      </c>
      <c r="E39" s="55"/>
      <c r="F39" s="15">
        <f>SUM(F4:F38)</f>
        <v>3325</v>
      </c>
      <c r="G39" s="15">
        <f t="shared" ref="G39:T39" si="1">SUM(G4:G38)</f>
        <v>1790</v>
      </c>
      <c r="H39" s="56">
        <f t="shared" si="1"/>
        <v>60</v>
      </c>
      <c r="I39" s="15">
        <f t="shared" si="1"/>
        <v>0</v>
      </c>
      <c r="J39" s="15">
        <f t="shared" si="1"/>
        <v>0</v>
      </c>
      <c r="K39" s="15">
        <f t="shared" si="1"/>
        <v>0</v>
      </c>
      <c r="L39" s="15">
        <f t="shared" si="1"/>
        <v>180</v>
      </c>
      <c r="M39" s="15">
        <f t="shared" si="1"/>
        <v>0</v>
      </c>
      <c r="N39" s="15">
        <f t="shared" si="1"/>
        <v>0</v>
      </c>
      <c r="O39" s="15">
        <f t="shared" si="1"/>
        <v>0</v>
      </c>
      <c r="P39" s="15">
        <f t="shared" si="1"/>
        <v>0</v>
      </c>
      <c r="Q39" s="15">
        <f t="shared" si="1"/>
        <v>0</v>
      </c>
      <c r="R39" s="15">
        <f t="shared" si="1"/>
        <v>0</v>
      </c>
      <c r="S39" s="15">
        <f t="shared" si="1"/>
        <v>0</v>
      </c>
      <c r="T39" s="15">
        <f t="shared" si="1"/>
        <v>1295</v>
      </c>
    </row>
    <row r="40" spans="1:20" ht="15.75" thickBot="1" x14ac:dyDescent="0.3"/>
    <row r="41" spans="1:20" ht="30.75" customHeight="1" thickTop="1" thickBot="1" x14ac:dyDescent="0.3">
      <c r="E41" s="2" t="s">
        <v>26</v>
      </c>
      <c r="F41" s="3" t="s">
        <v>27</v>
      </c>
      <c r="G41" s="4" t="s">
        <v>28</v>
      </c>
    </row>
    <row r="42" spans="1:20" ht="48.75" customHeight="1" thickTop="1" x14ac:dyDescent="0.25">
      <c r="A42" s="2" t="s">
        <v>19</v>
      </c>
      <c r="B42" s="6">
        <f>+D39</f>
        <v>6047</v>
      </c>
      <c r="C42" s="7"/>
      <c r="E42" s="5">
        <v>200</v>
      </c>
      <c r="F42" s="6">
        <v>2</v>
      </c>
      <c r="G42" s="7">
        <f>+E42*F42</f>
        <v>400</v>
      </c>
    </row>
    <row r="43" spans="1:20" ht="46.5" customHeight="1" x14ac:dyDescent="0.25">
      <c r="A43" s="9" t="s">
        <v>20</v>
      </c>
      <c r="B43" s="6">
        <f>D8</f>
        <v>1221</v>
      </c>
      <c r="C43" s="7"/>
      <c r="E43" s="5">
        <v>100</v>
      </c>
      <c r="F43" s="6">
        <v>10</v>
      </c>
      <c r="G43" s="7">
        <f t="shared" ref="G43:G45" si="2">+E43*F43</f>
        <v>1000</v>
      </c>
    </row>
    <row r="44" spans="1:20" ht="46.5" customHeight="1" x14ac:dyDescent="0.25">
      <c r="A44" s="9" t="s">
        <v>21</v>
      </c>
      <c r="B44" s="6">
        <f>F39</f>
        <v>3325</v>
      </c>
      <c r="C44" s="7"/>
      <c r="E44" s="5">
        <v>50</v>
      </c>
      <c r="F44" s="6">
        <v>2</v>
      </c>
      <c r="G44" s="7">
        <f t="shared" si="2"/>
        <v>100</v>
      </c>
    </row>
    <row r="45" spans="1:20" ht="51.75" customHeight="1" x14ac:dyDescent="0.25">
      <c r="A45" s="9" t="s">
        <v>22</v>
      </c>
      <c r="B45" s="11">
        <f>+B42-B43-B44</f>
        <v>1501</v>
      </c>
      <c r="C45" s="12"/>
      <c r="E45" s="5">
        <v>20</v>
      </c>
      <c r="F45" s="6"/>
      <c r="G45" s="7">
        <f t="shared" si="2"/>
        <v>0</v>
      </c>
    </row>
    <row r="46" spans="1:20" ht="46.5" customHeight="1" x14ac:dyDescent="0.25">
      <c r="A46" s="9" t="s">
        <v>23</v>
      </c>
      <c r="B46" s="11">
        <f>G49</f>
        <v>1501</v>
      </c>
      <c r="C46" s="12"/>
      <c r="D46" s="1"/>
      <c r="E46" s="5">
        <v>10</v>
      </c>
      <c r="F46" s="6"/>
      <c r="G46" s="7">
        <f>+E46*F46</f>
        <v>0</v>
      </c>
    </row>
    <row r="47" spans="1:20" ht="34.5" customHeight="1" x14ac:dyDescent="0.25">
      <c r="A47" s="9" t="s">
        <v>24</v>
      </c>
      <c r="B47" s="11">
        <f>IF(B45&lt;B46,B46-B45,0)</f>
        <v>0</v>
      </c>
      <c r="C47" s="12"/>
      <c r="E47" s="5">
        <v>5</v>
      </c>
      <c r="F47" s="6">
        <v>0</v>
      </c>
      <c r="G47" s="7">
        <f>+E47*F47</f>
        <v>0</v>
      </c>
    </row>
    <row r="48" spans="1:20" ht="36.75" customHeight="1" x14ac:dyDescent="0.25">
      <c r="A48" s="9" t="s">
        <v>7</v>
      </c>
      <c r="B48" s="11">
        <f>IF(B45&gt;B46,B45-B46,0)</f>
        <v>0</v>
      </c>
      <c r="C48" s="12"/>
      <c r="E48" s="5">
        <v>1</v>
      </c>
      <c r="F48" s="6">
        <v>1</v>
      </c>
      <c r="G48" s="7">
        <f>+E48*F48</f>
        <v>1</v>
      </c>
    </row>
    <row r="49" spans="1:7" ht="30" customHeight="1" thickBot="1" x14ac:dyDescent="0.35">
      <c r="A49" s="10" t="s">
        <v>29</v>
      </c>
      <c r="B49" s="13" t="b">
        <f>B45=B46</f>
        <v>1</v>
      </c>
      <c r="C49" s="14"/>
      <c r="E49" s="159" t="s">
        <v>25</v>
      </c>
      <c r="F49" s="160"/>
      <c r="G49" s="8">
        <f>SUM(G42:G48)</f>
        <v>1501</v>
      </c>
    </row>
    <row r="50" spans="1:7" ht="15.75" thickTop="1" x14ac:dyDescent="0.25"/>
  </sheetData>
  <mergeCells count="3">
    <mergeCell ref="E49:F49"/>
    <mergeCell ref="E2:L2"/>
    <mergeCell ref="A39:C3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37" orientation="landscape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0"/>
  <sheetViews>
    <sheetView rightToLeft="1" topLeftCell="A44" zoomScale="87" zoomScaleNormal="87" workbookViewId="0">
      <selection activeCell="E29" sqref="E29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4.14062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3" width="13.140625" bestFit="1" customWidth="1"/>
    <col min="14" max="14" width="15" bestFit="1" customWidth="1"/>
    <col min="15" max="15" width="19.140625" bestFit="1" customWidth="1"/>
    <col min="16" max="16" width="18.42578125" bestFit="1" customWidth="1"/>
    <col min="18" max="18" width="20.42578125" bestFit="1" customWidth="1"/>
    <col min="19" max="19" width="10.28515625" bestFit="1" customWidth="1"/>
    <col min="20" max="20" width="11.85546875" bestFit="1" customWidth="1"/>
  </cols>
  <sheetData>
    <row r="1" spans="1:20" ht="15.75" hidden="1" thickBot="1" x14ac:dyDescent="0.3"/>
    <row r="2" spans="1:20" ht="25.5" customHeight="1" thickBot="1" x14ac:dyDescent="0.35">
      <c r="A2" s="92" t="s">
        <v>0</v>
      </c>
      <c r="B2" s="93"/>
      <c r="C2" s="93"/>
      <c r="D2" s="94"/>
      <c r="E2" s="168">
        <f ca="1">TODAY()</f>
        <v>45118</v>
      </c>
      <c r="F2" s="169"/>
      <c r="G2" s="169"/>
      <c r="H2" s="169"/>
      <c r="I2" s="169"/>
      <c r="J2" s="169"/>
      <c r="K2" s="169"/>
      <c r="L2" s="169"/>
      <c r="M2" s="116"/>
      <c r="N2" s="116"/>
      <c r="O2" s="116"/>
      <c r="P2" s="116"/>
      <c r="Q2" s="116"/>
      <c r="R2" s="116"/>
      <c r="S2" s="116"/>
      <c r="T2" s="116"/>
    </row>
    <row r="3" spans="1:20" ht="36.75" customHeight="1" x14ac:dyDescent="0.25">
      <c r="A3" s="62" t="s">
        <v>4</v>
      </c>
      <c r="B3" s="62" t="s">
        <v>3</v>
      </c>
      <c r="C3" s="62" t="s">
        <v>1</v>
      </c>
      <c r="D3" s="62" t="s">
        <v>2</v>
      </c>
      <c r="E3" s="62" t="s">
        <v>1</v>
      </c>
      <c r="F3" s="62" t="s">
        <v>13</v>
      </c>
      <c r="G3" s="62" t="s">
        <v>5</v>
      </c>
      <c r="H3" s="95" t="s">
        <v>8</v>
      </c>
      <c r="I3" s="96" t="s">
        <v>9</v>
      </c>
      <c r="J3" s="96" t="s">
        <v>10</v>
      </c>
      <c r="K3" s="96" t="s">
        <v>11</v>
      </c>
      <c r="L3" s="96" t="s">
        <v>12</v>
      </c>
      <c r="M3" s="96" t="s">
        <v>31</v>
      </c>
      <c r="N3" s="96" t="s">
        <v>45</v>
      </c>
      <c r="O3" s="96" t="s">
        <v>32</v>
      </c>
      <c r="P3" s="96" t="s">
        <v>34</v>
      </c>
      <c r="Q3" s="96" t="s">
        <v>35</v>
      </c>
      <c r="R3" s="96" t="s">
        <v>39</v>
      </c>
      <c r="S3" s="96" t="s">
        <v>38</v>
      </c>
      <c r="T3" s="97" t="s">
        <v>40</v>
      </c>
    </row>
    <row r="4" spans="1:20" ht="25.5" customHeight="1" x14ac:dyDescent="0.25">
      <c r="A4" s="117">
        <v>45100</v>
      </c>
      <c r="B4" s="118"/>
      <c r="C4" s="118" t="s">
        <v>14</v>
      </c>
      <c r="D4" s="118">
        <v>1154</v>
      </c>
      <c r="E4" s="118" t="s">
        <v>284</v>
      </c>
      <c r="F4" s="118">
        <f>SUM(G4:T4)</f>
        <v>110</v>
      </c>
      <c r="G4" s="118"/>
      <c r="H4" s="119"/>
      <c r="I4" s="118"/>
      <c r="J4" s="118"/>
      <c r="K4" s="118"/>
      <c r="L4" s="118">
        <v>110</v>
      </c>
      <c r="M4" s="118"/>
      <c r="N4" s="118"/>
      <c r="O4" s="118"/>
      <c r="P4" s="118"/>
      <c r="Q4" s="118"/>
      <c r="R4" s="118"/>
      <c r="S4" s="118"/>
      <c r="T4" s="118"/>
    </row>
    <row r="5" spans="1:20" ht="25.5" customHeight="1" x14ac:dyDescent="0.25">
      <c r="A5" s="117">
        <v>45100</v>
      </c>
      <c r="B5" s="118"/>
      <c r="C5" s="118" t="s">
        <v>15</v>
      </c>
      <c r="D5" s="118">
        <v>2344</v>
      </c>
      <c r="E5" s="118" t="s">
        <v>114</v>
      </c>
      <c r="F5" s="118">
        <f t="shared" ref="F5:F38" si="0">SUM(G5:T5)</f>
        <v>20</v>
      </c>
      <c r="G5" s="118"/>
      <c r="H5" s="119"/>
      <c r="I5" s="118"/>
      <c r="J5" s="118"/>
      <c r="K5" s="118"/>
      <c r="L5" s="118"/>
      <c r="M5" s="118"/>
      <c r="N5" s="118"/>
      <c r="O5" s="118"/>
      <c r="P5" s="118">
        <f>10+10</f>
        <v>20</v>
      </c>
      <c r="Q5" s="118"/>
      <c r="R5" s="118"/>
      <c r="S5" s="118"/>
      <c r="T5" s="118"/>
    </row>
    <row r="6" spans="1:20" ht="25.5" customHeight="1" x14ac:dyDescent="0.25">
      <c r="A6" s="117">
        <v>45100</v>
      </c>
      <c r="B6" s="118"/>
      <c r="C6" s="118" t="s">
        <v>16</v>
      </c>
      <c r="D6" s="118">
        <v>0</v>
      </c>
      <c r="E6" s="118" t="s">
        <v>191</v>
      </c>
      <c r="F6" s="118">
        <f t="shared" si="0"/>
        <v>135</v>
      </c>
      <c r="G6" s="118"/>
      <c r="H6" s="119"/>
      <c r="I6" s="118"/>
      <c r="J6" s="118"/>
      <c r="K6" s="118"/>
      <c r="L6" s="118">
        <f>90+45</f>
        <v>135</v>
      </c>
      <c r="M6" s="118"/>
      <c r="N6" s="118"/>
      <c r="O6" s="118"/>
      <c r="P6" s="118"/>
      <c r="Q6" s="118"/>
      <c r="R6" s="118"/>
      <c r="S6" s="118"/>
      <c r="T6" s="118"/>
    </row>
    <row r="7" spans="1:20" ht="25.5" customHeight="1" x14ac:dyDescent="0.25">
      <c r="A7" s="117">
        <v>45100</v>
      </c>
      <c r="B7" s="118"/>
      <c r="C7" s="118" t="s">
        <v>17</v>
      </c>
      <c r="D7" s="118">
        <v>100</v>
      </c>
      <c r="E7" s="118" t="s">
        <v>112</v>
      </c>
      <c r="F7" s="118">
        <f t="shared" si="0"/>
        <v>200</v>
      </c>
      <c r="G7" s="118"/>
      <c r="H7" s="119"/>
      <c r="I7" s="118"/>
      <c r="J7" s="118"/>
      <c r="K7" s="118"/>
      <c r="L7" s="118"/>
      <c r="M7" s="118"/>
      <c r="N7" s="118"/>
      <c r="O7" s="118"/>
      <c r="P7" s="118"/>
      <c r="Q7" s="118"/>
      <c r="R7" s="118">
        <v>200</v>
      </c>
      <c r="S7" s="118"/>
      <c r="T7" s="118"/>
    </row>
    <row r="8" spans="1:20" ht="25.5" customHeight="1" x14ac:dyDescent="0.25">
      <c r="A8" s="117">
        <v>45100</v>
      </c>
      <c r="B8" s="118"/>
      <c r="C8" s="118" t="s">
        <v>18</v>
      </c>
      <c r="D8" s="118">
        <f>20+115+50+1000+25+20+60</f>
        <v>1290</v>
      </c>
      <c r="E8" s="118" t="s">
        <v>117</v>
      </c>
      <c r="F8" s="118">
        <f t="shared" si="0"/>
        <v>150</v>
      </c>
      <c r="G8" s="118">
        <v>150</v>
      </c>
      <c r="H8" s="119"/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</row>
    <row r="9" spans="1:20" ht="25.5" customHeight="1" x14ac:dyDescent="0.25">
      <c r="A9" s="117">
        <v>45100</v>
      </c>
      <c r="B9" s="118"/>
      <c r="C9" s="118" t="s">
        <v>30</v>
      </c>
      <c r="D9" s="118">
        <v>0</v>
      </c>
      <c r="E9" s="118" t="s">
        <v>121</v>
      </c>
      <c r="F9" s="118">
        <f t="shared" si="0"/>
        <v>160</v>
      </c>
      <c r="G9" s="118">
        <v>160</v>
      </c>
      <c r="H9" s="119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</row>
    <row r="10" spans="1:20" ht="25.5" customHeight="1" x14ac:dyDescent="0.25">
      <c r="A10" s="117">
        <v>45100</v>
      </c>
      <c r="B10" s="118"/>
      <c r="C10" s="118" t="s">
        <v>46</v>
      </c>
      <c r="D10" s="118">
        <v>0</v>
      </c>
      <c r="E10" s="118" t="s">
        <v>74</v>
      </c>
      <c r="F10" s="118">
        <f t="shared" si="0"/>
        <v>160</v>
      </c>
      <c r="G10" s="118">
        <v>160</v>
      </c>
      <c r="H10" s="119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</row>
    <row r="11" spans="1:20" ht="25.5" customHeight="1" x14ac:dyDescent="0.25">
      <c r="A11" s="117">
        <v>45100</v>
      </c>
      <c r="B11" s="118"/>
      <c r="C11" s="118"/>
      <c r="D11" s="118"/>
      <c r="E11" s="118" t="s">
        <v>79</v>
      </c>
      <c r="F11" s="118">
        <f t="shared" si="0"/>
        <v>50</v>
      </c>
      <c r="G11" s="118">
        <v>50</v>
      </c>
      <c r="H11" s="119"/>
      <c r="I11" s="118"/>
      <c r="J11" s="118"/>
      <c r="K11" s="118"/>
      <c r="L11" s="118"/>
      <c r="M11" s="118"/>
      <c r="N11" s="118"/>
      <c r="O11" s="118"/>
      <c r="P11" s="118"/>
      <c r="Q11" s="118"/>
      <c r="R11" s="118"/>
      <c r="S11" s="118"/>
      <c r="T11" s="118"/>
    </row>
    <row r="12" spans="1:20" ht="25.5" customHeight="1" x14ac:dyDescent="0.25">
      <c r="A12" s="117">
        <v>45100</v>
      </c>
      <c r="B12" s="118"/>
      <c r="C12" s="118"/>
      <c r="D12" s="118"/>
      <c r="E12" s="118" t="s">
        <v>77</v>
      </c>
      <c r="F12" s="118">
        <f t="shared" si="0"/>
        <v>85</v>
      </c>
      <c r="G12" s="118">
        <v>85</v>
      </c>
      <c r="H12" s="119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</row>
    <row r="13" spans="1:20" ht="25.5" customHeight="1" x14ac:dyDescent="0.25">
      <c r="A13" s="117">
        <v>45100</v>
      </c>
      <c r="B13" s="118"/>
      <c r="C13" s="118"/>
      <c r="D13" s="118"/>
      <c r="E13" s="118" t="s">
        <v>127</v>
      </c>
      <c r="F13" s="118">
        <f t="shared" si="0"/>
        <v>200</v>
      </c>
      <c r="G13" s="118">
        <v>200</v>
      </c>
      <c r="H13" s="119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</row>
    <row r="14" spans="1:20" ht="25.5" customHeight="1" x14ac:dyDescent="0.25">
      <c r="A14" s="117">
        <v>45100</v>
      </c>
      <c r="B14" s="118"/>
      <c r="C14" s="118"/>
      <c r="D14" s="118"/>
      <c r="E14" s="118" t="s">
        <v>75</v>
      </c>
      <c r="F14" s="118">
        <f t="shared" si="0"/>
        <v>150</v>
      </c>
      <c r="G14" s="118">
        <v>150</v>
      </c>
      <c r="H14" s="119"/>
      <c r="I14" s="118"/>
      <c r="J14" s="118"/>
      <c r="K14" s="118"/>
      <c r="L14" s="118"/>
      <c r="M14" s="118"/>
      <c r="N14" s="118"/>
      <c r="O14" s="118"/>
      <c r="P14" s="118"/>
      <c r="Q14" s="118"/>
      <c r="R14" s="118"/>
      <c r="S14" s="118"/>
      <c r="T14" s="118"/>
    </row>
    <row r="15" spans="1:20" ht="25.5" customHeight="1" x14ac:dyDescent="0.25">
      <c r="A15" s="117">
        <v>45100</v>
      </c>
      <c r="B15" s="118"/>
      <c r="C15" s="118"/>
      <c r="D15" s="118"/>
      <c r="E15" s="118" t="s">
        <v>120</v>
      </c>
      <c r="F15" s="118">
        <f t="shared" si="0"/>
        <v>50</v>
      </c>
      <c r="G15" s="118">
        <v>50</v>
      </c>
      <c r="H15" s="119"/>
      <c r="I15" s="118"/>
      <c r="J15" s="118"/>
      <c r="K15" s="118"/>
      <c r="L15" s="118"/>
      <c r="M15" s="118"/>
      <c r="N15" s="118"/>
      <c r="O15" s="118"/>
      <c r="P15" s="118"/>
      <c r="Q15" s="118"/>
      <c r="R15" s="118"/>
      <c r="S15" s="118"/>
      <c r="T15" s="118"/>
    </row>
    <row r="16" spans="1:20" ht="25.5" customHeight="1" x14ac:dyDescent="0.25">
      <c r="A16" s="117">
        <v>45100</v>
      </c>
      <c r="B16" s="118"/>
      <c r="C16" s="118"/>
      <c r="D16" s="118"/>
      <c r="E16" s="118" t="s">
        <v>73</v>
      </c>
      <c r="F16" s="118">
        <f t="shared" si="0"/>
        <v>170</v>
      </c>
      <c r="G16" s="118">
        <v>170</v>
      </c>
      <c r="H16" s="119"/>
      <c r="I16" s="118"/>
      <c r="J16" s="118"/>
      <c r="K16" s="118"/>
      <c r="L16" s="118"/>
      <c r="M16" s="118"/>
      <c r="N16" s="118"/>
      <c r="O16" s="118"/>
      <c r="P16" s="118"/>
      <c r="Q16" s="118"/>
      <c r="R16" s="118"/>
      <c r="S16" s="118"/>
      <c r="T16" s="118"/>
    </row>
    <row r="17" spans="1:20" ht="25.5" customHeight="1" x14ac:dyDescent="0.25">
      <c r="A17" s="117"/>
      <c r="B17" s="118"/>
      <c r="C17" s="118"/>
      <c r="D17" s="118"/>
      <c r="E17" s="118" t="s">
        <v>100</v>
      </c>
      <c r="F17" s="118">
        <f t="shared" si="0"/>
        <v>150</v>
      </c>
      <c r="G17" s="118">
        <v>150</v>
      </c>
      <c r="H17" s="119"/>
      <c r="I17" s="118"/>
      <c r="J17" s="118"/>
      <c r="K17" s="118"/>
      <c r="L17" s="118"/>
      <c r="M17" s="118"/>
      <c r="N17" s="118"/>
      <c r="O17" s="118"/>
      <c r="P17" s="118"/>
      <c r="Q17" s="118"/>
      <c r="R17" s="118"/>
      <c r="S17" s="118"/>
      <c r="T17" s="118"/>
    </row>
    <row r="18" spans="1:20" ht="25.5" customHeight="1" x14ac:dyDescent="0.25">
      <c r="A18" s="117"/>
      <c r="B18" s="118"/>
      <c r="C18" s="118"/>
      <c r="D18" s="118"/>
      <c r="E18" s="118" t="s">
        <v>86</v>
      </c>
      <c r="F18" s="118">
        <f t="shared" si="0"/>
        <v>120</v>
      </c>
      <c r="G18" s="118">
        <v>120</v>
      </c>
      <c r="H18" s="119"/>
      <c r="I18" s="118"/>
      <c r="J18" s="118"/>
      <c r="K18" s="118"/>
      <c r="L18" s="118"/>
      <c r="M18" s="118"/>
      <c r="N18" s="118"/>
      <c r="O18" s="118"/>
      <c r="P18" s="118"/>
      <c r="Q18" s="118"/>
      <c r="R18" s="118"/>
      <c r="S18" s="118"/>
      <c r="T18" s="118"/>
    </row>
    <row r="19" spans="1:20" ht="25.5" customHeight="1" x14ac:dyDescent="0.25">
      <c r="A19" s="117"/>
      <c r="B19" s="118"/>
      <c r="C19" s="118"/>
      <c r="D19" s="118"/>
      <c r="E19" s="118" t="s">
        <v>110</v>
      </c>
      <c r="F19" s="118">
        <f t="shared" si="0"/>
        <v>100</v>
      </c>
      <c r="G19" s="118">
        <v>100</v>
      </c>
      <c r="H19" s="119"/>
      <c r="I19" s="118"/>
      <c r="J19" s="118"/>
      <c r="K19" s="118"/>
      <c r="L19" s="118"/>
      <c r="M19" s="118"/>
      <c r="N19" s="118"/>
      <c r="O19" s="118"/>
      <c r="P19" s="118"/>
      <c r="Q19" s="118"/>
      <c r="R19" s="118"/>
      <c r="S19" s="118"/>
      <c r="T19" s="118"/>
    </row>
    <row r="20" spans="1:20" ht="25.5" customHeight="1" x14ac:dyDescent="0.25">
      <c r="A20" s="117"/>
      <c r="B20" s="118"/>
      <c r="C20" s="118"/>
      <c r="D20" s="118"/>
      <c r="E20" s="118" t="s">
        <v>228</v>
      </c>
      <c r="F20" s="118">
        <f t="shared" si="0"/>
        <v>200</v>
      </c>
      <c r="G20" s="118">
        <v>200</v>
      </c>
      <c r="H20" s="119"/>
      <c r="I20" s="118"/>
      <c r="J20" s="118"/>
      <c r="K20" s="118"/>
      <c r="L20" s="118"/>
      <c r="M20" s="118"/>
      <c r="N20" s="118"/>
      <c r="O20" s="118"/>
      <c r="P20" s="118"/>
      <c r="Q20" s="118"/>
      <c r="R20" s="118"/>
      <c r="S20" s="118"/>
      <c r="T20" s="118"/>
    </row>
    <row r="21" spans="1:20" ht="25.5" customHeight="1" x14ac:dyDescent="0.25">
      <c r="A21" s="117"/>
      <c r="B21" s="118"/>
      <c r="C21" s="118"/>
      <c r="D21" s="118"/>
      <c r="E21" s="118" t="s">
        <v>83</v>
      </c>
      <c r="F21" s="118">
        <f t="shared" si="0"/>
        <v>30</v>
      </c>
      <c r="G21" s="118">
        <v>30</v>
      </c>
      <c r="H21" s="119"/>
      <c r="I21" s="118"/>
      <c r="J21" s="118"/>
      <c r="K21" s="118"/>
      <c r="L21" s="118"/>
      <c r="M21" s="118"/>
      <c r="N21" s="118"/>
      <c r="O21" s="118"/>
      <c r="P21" s="118"/>
      <c r="Q21" s="118"/>
      <c r="R21" s="118"/>
      <c r="S21" s="118"/>
      <c r="T21" s="118"/>
    </row>
    <row r="22" spans="1:20" ht="25.5" customHeight="1" x14ac:dyDescent="0.25">
      <c r="A22" s="117"/>
      <c r="B22" s="118"/>
      <c r="C22" s="118"/>
      <c r="D22" s="118"/>
      <c r="E22" s="118"/>
      <c r="F22" s="118">
        <f t="shared" si="0"/>
        <v>0</v>
      </c>
      <c r="G22" s="118"/>
      <c r="H22" s="119"/>
      <c r="I22" s="118"/>
      <c r="J22" s="118"/>
      <c r="K22" s="118"/>
      <c r="L22" s="118"/>
      <c r="M22" s="118"/>
      <c r="N22" s="118"/>
      <c r="O22" s="118"/>
      <c r="P22" s="118"/>
      <c r="Q22" s="118"/>
      <c r="R22" s="118"/>
      <c r="S22" s="118"/>
      <c r="T22" s="118"/>
    </row>
    <row r="23" spans="1:20" ht="25.5" customHeight="1" x14ac:dyDescent="0.25">
      <c r="A23" s="117"/>
      <c r="B23" s="118"/>
      <c r="C23" s="118"/>
      <c r="D23" s="118"/>
      <c r="E23" s="118"/>
      <c r="F23" s="118">
        <f t="shared" si="0"/>
        <v>0</v>
      </c>
      <c r="G23" s="118"/>
      <c r="H23" s="119"/>
      <c r="I23" s="118"/>
      <c r="J23" s="118"/>
      <c r="K23" s="118"/>
      <c r="L23" s="118"/>
      <c r="M23" s="118"/>
      <c r="N23" s="118"/>
      <c r="O23" s="118"/>
      <c r="P23" s="118"/>
      <c r="Q23" s="118"/>
      <c r="R23" s="118"/>
      <c r="S23" s="118"/>
      <c r="T23" s="118"/>
    </row>
    <row r="24" spans="1:20" ht="25.5" customHeight="1" x14ac:dyDescent="0.25">
      <c r="A24" s="117"/>
      <c r="B24" s="118"/>
      <c r="C24" s="118"/>
      <c r="D24" s="118"/>
      <c r="E24" s="118"/>
      <c r="F24" s="118">
        <f t="shared" si="0"/>
        <v>0</v>
      </c>
      <c r="G24" s="118"/>
      <c r="H24" s="119"/>
      <c r="I24" s="118"/>
      <c r="J24" s="118"/>
      <c r="K24" s="118"/>
      <c r="L24" s="118"/>
      <c r="M24" s="118"/>
      <c r="N24" s="118"/>
      <c r="O24" s="118"/>
      <c r="P24" s="118"/>
      <c r="Q24" s="118"/>
      <c r="R24" s="118"/>
      <c r="S24" s="118"/>
      <c r="T24" s="118"/>
    </row>
    <row r="25" spans="1:20" ht="25.5" customHeight="1" x14ac:dyDescent="0.25">
      <c r="A25" s="117"/>
      <c r="B25" s="118"/>
      <c r="C25" s="118"/>
      <c r="D25" s="118"/>
      <c r="E25" s="118"/>
      <c r="F25" s="118">
        <f t="shared" si="0"/>
        <v>0</v>
      </c>
      <c r="G25" s="118"/>
      <c r="H25" s="119"/>
      <c r="I25" s="118"/>
      <c r="J25" s="118"/>
      <c r="K25" s="118"/>
      <c r="L25" s="118"/>
      <c r="M25" s="118"/>
      <c r="N25" s="118"/>
      <c r="O25" s="118"/>
      <c r="P25" s="118"/>
      <c r="Q25" s="118"/>
      <c r="R25" s="118"/>
      <c r="S25" s="118"/>
      <c r="T25" s="118"/>
    </row>
    <row r="26" spans="1:20" ht="25.5" customHeight="1" x14ac:dyDescent="0.25">
      <c r="A26" s="117"/>
      <c r="B26" s="118"/>
      <c r="C26" s="118"/>
      <c r="D26" s="118"/>
      <c r="E26" s="118"/>
      <c r="F26" s="118">
        <f t="shared" si="0"/>
        <v>0</v>
      </c>
      <c r="G26" s="118"/>
      <c r="H26" s="119"/>
      <c r="I26" s="118"/>
      <c r="J26" s="118"/>
      <c r="K26" s="118"/>
      <c r="L26" s="118"/>
      <c r="M26" s="118"/>
      <c r="N26" s="118"/>
      <c r="O26" s="118"/>
      <c r="P26" s="118"/>
      <c r="Q26" s="118"/>
      <c r="R26" s="118"/>
      <c r="S26" s="118"/>
      <c r="T26" s="118"/>
    </row>
    <row r="27" spans="1:20" ht="25.5" customHeight="1" x14ac:dyDescent="0.25">
      <c r="A27" s="117"/>
      <c r="B27" s="118"/>
      <c r="C27" s="118"/>
      <c r="D27" s="118"/>
      <c r="E27" s="118"/>
      <c r="F27" s="118">
        <f t="shared" si="0"/>
        <v>0</v>
      </c>
      <c r="G27" s="118"/>
      <c r="H27" s="119"/>
      <c r="I27" s="118"/>
      <c r="J27" s="118"/>
      <c r="K27" s="118"/>
      <c r="L27" s="118"/>
      <c r="M27" s="118"/>
      <c r="N27" s="118"/>
      <c r="O27" s="118"/>
      <c r="P27" s="118"/>
      <c r="Q27" s="118"/>
      <c r="R27" s="118"/>
      <c r="S27" s="118"/>
      <c r="T27" s="118"/>
    </row>
    <row r="28" spans="1:20" ht="25.5" customHeight="1" x14ac:dyDescent="0.25">
      <c r="A28" s="117"/>
      <c r="B28" s="118"/>
      <c r="C28" s="118"/>
      <c r="D28" s="118"/>
      <c r="E28" s="118"/>
      <c r="F28" s="118">
        <f t="shared" si="0"/>
        <v>0</v>
      </c>
      <c r="G28" s="118"/>
      <c r="H28" s="119"/>
      <c r="I28" s="118"/>
      <c r="J28" s="118"/>
      <c r="K28" s="118"/>
      <c r="L28" s="118"/>
      <c r="M28" s="118"/>
      <c r="N28" s="118"/>
      <c r="O28" s="118"/>
      <c r="P28" s="118"/>
      <c r="Q28" s="118"/>
      <c r="R28" s="118"/>
      <c r="S28" s="118"/>
      <c r="T28" s="118"/>
    </row>
    <row r="29" spans="1:20" ht="25.5" customHeight="1" x14ac:dyDescent="0.25">
      <c r="A29" s="117"/>
      <c r="B29" s="118"/>
      <c r="C29" s="118"/>
      <c r="D29" s="118"/>
      <c r="E29" s="118"/>
      <c r="F29" s="118">
        <f t="shared" si="0"/>
        <v>0</v>
      </c>
      <c r="G29" s="118"/>
      <c r="H29" s="119"/>
      <c r="I29" s="118"/>
      <c r="J29" s="118"/>
      <c r="K29" s="118"/>
      <c r="L29" s="118"/>
      <c r="M29" s="118"/>
      <c r="N29" s="118"/>
      <c r="O29" s="118"/>
      <c r="P29" s="118"/>
      <c r="Q29" s="118"/>
      <c r="R29" s="118"/>
      <c r="S29" s="118"/>
      <c r="T29" s="118"/>
    </row>
    <row r="30" spans="1:20" ht="25.5" customHeight="1" x14ac:dyDescent="0.25">
      <c r="A30" s="117"/>
      <c r="B30" s="118"/>
      <c r="C30" s="118"/>
      <c r="D30" s="118"/>
      <c r="E30" s="118"/>
      <c r="F30" s="118">
        <f t="shared" si="0"/>
        <v>0</v>
      </c>
      <c r="G30" s="118"/>
      <c r="H30" s="119"/>
      <c r="I30" s="118"/>
      <c r="J30" s="118"/>
      <c r="K30" s="118"/>
      <c r="L30" s="118"/>
      <c r="M30" s="118"/>
      <c r="N30" s="118"/>
      <c r="O30" s="118"/>
      <c r="P30" s="118"/>
      <c r="Q30" s="118"/>
      <c r="R30" s="118"/>
      <c r="S30" s="118"/>
      <c r="T30" s="118"/>
    </row>
    <row r="31" spans="1:20" ht="25.5" customHeight="1" x14ac:dyDescent="0.25">
      <c r="A31" s="117"/>
      <c r="B31" s="118"/>
      <c r="C31" s="118"/>
      <c r="D31" s="118"/>
      <c r="E31" s="118"/>
      <c r="F31" s="118">
        <f t="shared" si="0"/>
        <v>0</v>
      </c>
      <c r="G31" s="118"/>
      <c r="H31" s="119"/>
      <c r="I31" s="118"/>
      <c r="J31" s="118"/>
      <c r="K31" s="118"/>
      <c r="L31" s="118"/>
      <c r="M31" s="118"/>
      <c r="N31" s="118"/>
      <c r="O31" s="118"/>
      <c r="P31" s="118"/>
      <c r="Q31" s="118"/>
      <c r="R31" s="118"/>
      <c r="S31" s="118"/>
      <c r="T31" s="118"/>
    </row>
    <row r="32" spans="1:20" ht="25.5" customHeight="1" x14ac:dyDescent="0.25">
      <c r="A32" s="117"/>
      <c r="B32" s="118"/>
      <c r="C32" s="118"/>
      <c r="D32" s="118"/>
      <c r="E32" s="118"/>
      <c r="F32" s="118">
        <f t="shared" si="0"/>
        <v>0</v>
      </c>
      <c r="G32" s="118"/>
      <c r="H32" s="119"/>
      <c r="I32" s="118"/>
      <c r="J32" s="118"/>
      <c r="K32" s="118"/>
      <c r="L32" s="118"/>
      <c r="M32" s="118"/>
      <c r="N32" s="118"/>
      <c r="O32" s="118"/>
      <c r="P32" s="118"/>
      <c r="Q32" s="118"/>
      <c r="R32" s="118"/>
      <c r="S32" s="118"/>
      <c r="T32" s="118"/>
    </row>
    <row r="33" spans="1:20" ht="25.5" customHeight="1" x14ac:dyDescent="0.25">
      <c r="A33" s="117"/>
      <c r="B33" s="118"/>
      <c r="C33" s="118"/>
      <c r="D33" s="118"/>
      <c r="E33" s="118"/>
      <c r="F33" s="118">
        <f t="shared" si="0"/>
        <v>0</v>
      </c>
      <c r="G33" s="118"/>
      <c r="H33" s="119"/>
      <c r="I33" s="118"/>
      <c r="J33" s="118"/>
      <c r="K33" s="118"/>
      <c r="L33" s="118"/>
      <c r="M33" s="118"/>
      <c r="N33" s="118"/>
      <c r="O33" s="118"/>
      <c r="P33" s="118"/>
      <c r="Q33" s="118"/>
      <c r="R33" s="118"/>
      <c r="S33" s="118"/>
      <c r="T33" s="118"/>
    </row>
    <row r="34" spans="1:20" ht="25.5" customHeight="1" x14ac:dyDescent="0.25">
      <c r="A34" s="117"/>
      <c r="B34" s="118"/>
      <c r="C34" s="118"/>
      <c r="D34" s="118"/>
      <c r="E34" s="118"/>
      <c r="F34" s="118">
        <f t="shared" si="0"/>
        <v>0</v>
      </c>
      <c r="G34" s="118"/>
      <c r="H34" s="119"/>
      <c r="I34" s="118"/>
      <c r="J34" s="118"/>
      <c r="K34" s="118"/>
      <c r="L34" s="118"/>
      <c r="M34" s="118"/>
      <c r="N34" s="118"/>
      <c r="O34" s="118"/>
      <c r="P34" s="118"/>
      <c r="Q34" s="118"/>
      <c r="R34" s="118"/>
      <c r="S34" s="118"/>
      <c r="T34" s="118"/>
    </row>
    <row r="35" spans="1:20" ht="25.5" customHeight="1" x14ac:dyDescent="0.25">
      <c r="A35" s="117"/>
      <c r="B35" s="118"/>
      <c r="C35" s="118"/>
      <c r="D35" s="118"/>
      <c r="E35" s="118"/>
      <c r="F35" s="118">
        <f t="shared" si="0"/>
        <v>0</v>
      </c>
      <c r="G35" s="118"/>
      <c r="H35" s="119"/>
      <c r="I35" s="118"/>
      <c r="J35" s="118"/>
      <c r="K35" s="118"/>
      <c r="L35" s="118"/>
      <c r="M35" s="118"/>
      <c r="N35" s="118"/>
      <c r="O35" s="118"/>
      <c r="P35" s="118"/>
      <c r="Q35" s="118"/>
      <c r="R35" s="118"/>
      <c r="S35" s="118"/>
      <c r="T35" s="118"/>
    </row>
    <row r="36" spans="1:20" ht="25.5" customHeight="1" x14ac:dyDescent="0.25">
      <c r="A36" s="117"/>
      <c r="B36" s="118"/>
      <c r="C36" s="118"/>
      <c r="D36" s="118"/>
      <c r="E36" s="118"/>
      <c r="F36" s="118">
        <f t="shared" si="0"/>
        <v>0</v>
      </c>
      <c r="G36" s="118"/>
      <c r="H36" s="119"/>
      <c r="I36" s="118"/>
      <c r="J36" s="118"/>
      <c r="K36" s="118"/>
      <c r="L36" s="118"/>
      <c r="M36" s="118"/>
      <c r="N36" s="118"/>
      <c r="O36" s="118"/>
      <c r="P36" s="118"/>
      <c r="Q36" s="118"/>
      <c r="R36" s="118"/>
      <c r="S36" s="118"/>
      <c r="T36" s="118"/>
    </row>
    <row r="37" spans="1:20" ht="25.5" customHeight="1" x14ac:dyDescent="0.25">
      <c r="A37" s="117"/>
      <c r="B37" s="118"/>
      <c r="C37" s="118"/>
      <c r="D37" s="118"/>
      <c r="E37" s="118"/>
      <c r="F37" s="118">
        <f t="shared" si="0"/>
        <v>0</v>
      </c>
      <c r="G37" s="118"/>
      <c r="H37" s="119"/>
      <c r="I37" s="118"/>
      <c r="J37" s="118"/>
      <c r="K37" s="118"/>
      <c r="L37" s="118"/>
      <c r="M37" s="118"/>
      <c r="N37" s="118"/>
      <c r="O37" s="118"/>
      <c r="P37" s="118"/>
      <c r="Q37" s="118"/>
      <c r="R37" s="118"/>
      <c r="S37" s="118"/>
      <c r="T37" s="118"/>
    </row>
    <row r="38" spans="1:20" ht="25.5" customHeight="1" x14ac:dyDescent="0.25">
      <c r="A38" s="117"/>
      <c r="B38" s="118"/>
      <c r="C38" s="118"/>
      <c r="D38" s="118"/>
      <c r="E38" s="118"/>
      <c r="F38" s="118">
        <f t="shared" si="0"/>
        <v>0</v>
      </c>
      <c r="G38" s="118"/>
      <c r="H38" s="119"/>
      <c r="I38" s="118"/>
      <c r="J38" s="118"/>
      <c r="K38" s="118"/>
      <c r="L38" s="118"/>
      <c r="M38" s="118"/>
      <c r="N38" s="118"/>
      <c r="O38" s="118"/>
      <c r="P38" s="118"/>
      <c r="Q38" s="118"/>
      <c r="R38" s="118"/>
      <c r="S38" s="118"/>
      <c r="T38" s="118"/>
    </row>
    <row r="39" spans="1:20" ht="41.25" customHeight="1" x14ac:dyDescent="0.25">
      <c r="A39" s="171" t="s">
        <v>6</v>
      </c>
      <c r="B39" s="171"/>
      <c r="C39" s="171"/>
      <c r="D39" s="118">
        <f>SUM(D4:D38)</f>
        <v>4888</v>
      </c>
      <c r="E39" s="60"/>
      <c r="F39" s="118">
        <f>SUM(F4:F38)</f>
        <v>2240</v>
      </c>
      <c r="G39" s="118">
        <f t="shared" ref="G39:T39" si="1">SUM(G4:G38)</f>
        <v>1775</v>
      </c>
      <c r="H39" s="119">
        <f t="shared" si="1"/>
        <v>0</v>
      </c>
      <c r="I39" s="118">
        <f t="shared" si="1"/>
        <v>0</v>
      </c>
      <c r="J39" s="118">
        <f t="shared" si="1"/>
        <v>0</v>
      </c>
      <c r="K39" s="118">
        <f t="shared" si="1"/>
        <v>0</v>
      </c>
      <c r="L39" s="118">
        <f t="shared" si="1"/>
        <v>245</v>
      </c>
      <c r="M39" s="118">
        <f t="shared" si="1"/>
        <v>0</v>
      </c>
      <c r="N39" s="118">
        <f t="shared" si="1"/>
        <v>0</v>
      </c>
      <c r="O39" s="118">
        <f t="shared" si="1"/>
        <v>0</v>
      </c>
      <c r="P39" s="118">
        <f t="shared" si="1"/>
        <v>20</v>
      </c>
      <c r="Q39" s="118">
        <f t="shared" si="1"/>
        <v>0</v>
      </c>
      <c r="R39" s="118">
        <f t="shared" si="1"/>
        <v>200</v>
      </c>
      <c r="S39" s="118">
        <f t="shared" si="1"/>
        <v>0</v>
      </c>
      <c r="T39" s="118">
        <f t="shared" si="1"/>
        <v>0</v>
      </c>
    </row>
    <row r="40" spans="1:20" ht="15.75" thickBot="1" x14ac:dyDescent="0.3"/>
    <row r="41" spans="1:20" ht="30.75" customHeight="1" thickTop="1" thickBot="1" x14ac:dyDescent="0.3">
      <c r="E41" s="2" t="s">
        <v>26</v>
      </c>
      <c r="F41" s="3" t="s">
        <v>27</v>
      </c>
      <c r="G41" s="4" t="s">
        <v>28</v>
      </c>
    </row>
    <row r="42" spans="1:20" ht="48.75" customHeight="1" thickTop="1" x14ac:dyDescent="0.25">
      <c r="A42" s="2" t="s">
        <v>19</v>
      </c>
      <c r="B42" s="6">
        <f>+D39</f>
        <v>4888</v>
      </c>
      <c r="C42" s="7"/>
      <c r="E42" s="5">
        <v>200</v>
      </c>
      <c r="F42" s="6">
        <v>1</v>
      </c>
      <c r="G42" s="7">
        <f>+E42*F42</f>
        <v>200</v>
      </c>
    </row>
    <row r="43" spans="1:20" ht="46.5" customHeight="1" x14ac:dyDescent="0.25">
      <c r="A43" s="9" t="s">
        <v>20</v>
      </c>
      <c r="B43" s="6">
        <f>D8</f>
        <v>1290</v>
      </c>
      <c r="C43" s="7"/>
      <c r="E43" s="5">
        <v>100</v>
      </c>
      <c r="F43" s="6">
        <v>6</v>
      </c>
      <c r="G43" s="7">
        <f t="shared" ref="G43:G45" si="2">+E43*F43</f>
        <v>600</v>
      </c>
    </row>
    <row r="44" spans="1:20" ht="46.5" customHeight="1" x14ac:dyDescent="0.25">
      <c r="A44" s="9" t="s">
        <v>21</v>
      </c>
      <c r="B44" s="6">
        <f>F39</f>
        <v>2240</v>
      </c>
      <c r="C44" s="7"/>
      <c r="E44" s="5">
        <v>50</v>
      </c>
      <c r="F44" s="6">
        <v>6</v>
      </c>
      <c r="G44" s="7">
        <f t="shared" si="2"/>
        <v>300</v>
      </c>
    </row>
    <row r="45" spans="1:20" ht="51.75" customHeight="1" x14ac:dyDescent="0.25">
      <c r="A45" s="9" t="s">
        <v>22</v>
      </c>
      <c r="B45" s="11">
        <f>+B42-B43-B44</f>
        <v>1358</v>
      </c>
      <c r="C45" s="12"/>
      <c r="E45" s="5">
        <v>20</v>
      </c>
      <c r="F45" s="6">
        <v>3</v>
      </c>
      <c r="G45" s="7">
        <f t="shared" si="2"/>
        <v>60</v>
      </c>
    </row>
    <row r="46" spans="1:20" ht="46.5" customHeight="1" x14ac:dyDescent="0.25">
      <c r="A46" s="9" t="s">
        <v>23</v>
      </c>
      <c r="B46" s="11">
        <f>G49</f>
        <v>1360</v>
      </c>
      <c r="C46" s="12"/>
      <c r="D46" s="1"/>
      <c r="E46" s="5">
        <v>10</v>
      </c>
      <c r="F46" s="6">
        <v>14</v>
      </c>
      <c r="G46" s="7">
        <f>+E46*F46</f>
        <v>140</v>
      </c>
    </row>
    <row r="47" spans="1:20" ht="34.5" customHeight="1" x14ac:dyDescent="0.25">
      <c r="A47" s="9" t="s">
        <v>24</v>
      </c>
      <c r="B47" s="11">
        <f>IF(B45&lt;B46,B46-B45,0)</f>
        <v>2</v>
      </c>
      <c r="C47" s="12"/>
      <c r="E47" s="5">
        <v>5</v>
      </c>
      <c r="F47" s="6">
        <v>12</v>
      </c>
      <c r="G47" s="7">
        <f>+E47*F47</f>
        <v>60</v>
      </c>
    </row>
    <row r="48" spans="1:20" ht="36.75" customHeight="1" x14ac:dyDescent="0.25">
      <c r="A48" s="9" t="s">
        <v>7</v>
      </c>
      <c r="B48" s="11">
        <f>IF(B45&gt;B46,B45-B46,0)</f>
        <v>0</v>
      </c>
      <c r="C48" s="12"/>
      <c r="E48" s="5">
        <v>1</v>
      </c>
      <c r="F48" s="6"/>
      <c r="G48" s="7">
        <f>+E48*F48</f>
        <v>0</v>
      </c>
    </row>
    <row r="49" spans="1:7" ht="30" customHeight="1" thickBot="1" x14ac:dyDescent="0.35">
      <c r="A49" s="10" t="s">
        <v>29</v>
      </c>
      <c r="B49" s="13" t="b">
        <f>B45=B46</f>
        <v>0</v>
      </c>
      <c r="C49" s="14"/>
      <c r="E49" s="159" t="s">
        <v>25</v>
      </c>
      <c r="F49" s="160"/>
      <c r="G49" s="8">
        <f>SUM(G42:G48)</f>
        <v>1360</v>
      </c>
    </row>
    <row r="50" spans="1:7" ht="15.75" thickTop="1" x14ac:dyDescent="0.25"/>
  </sheetData>
  <mergeCells count="3">
    <mergeCell ref="E49:F49"/>
    <mergeCell ref="E2:L2"/>
    <mergeCell ref="A39:C39"/>
  </mergeCells>
  <printOptions horizontalCentered="1" verticalCentered="1"/>
  <pageMargins left="0" right="0.15748031496062992" top="0.62992125984251968" bottom="0.82677165354330717" header="0.15748031496062992" footer="0"/>
  <pageSetup paperSize="9" scale="36" orientation="landscape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0"/>
  <sheetViews>
    <sheetView rightToLeft="1" topLeftCell="A44" zoomScale="89" zoomScaleNormal="89" workbookViewId="0">
      <selection activeCell="H47" sqref="H47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8.570312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6" bestFit="1" customWidth="1"/>
    <col min="16" max="16" width="15.7109375" bestFit="1" customWidth="1"/>
    <col min="18" max="18" width="15.85546875" bestFit="1" customWidth="1"/>
    <col min="19" max="19" width="14" customWidth="1"/>
    <col min="20" max="20" width="10.140625" customWidth="1"/>
  </cols>
  <sheetData>
    <row r="1" spans="1:20" ht="15.75" hidden="1" thickBot="1" x14ac:dyDescent="0.3"/>
    <row r="2" spans="1:20" ht="25.5" customHeight="1" thickBot="1" x14ac:dyDescent="0.3">
      <c r="A2" s="50" t="s">
        <v>0</v>
      </c>
      <c r="B2" s="51"/>
      <c r="C2" s="51"/>
      <c r="D2" s="52"/>
      <c r="E2" s="157">
        <f ca="1">TODAY()</f>
        <v>45118</v>
      </c>
      <c r="F2" s="158"/>
      <c r="G2" s="158"/>
      <c r="H2" s="158"/>
      <c r="I2" s="158"/>
      <c r="J2" s="158"/>
      <c r="K2" s="158"/>
      <c r="L2" s="158"/>
      <c r="M2" s="53"/>
      <c r="N2" s="53"/>
      <c r="O2" s="53"/>
      <c r="P2" s="53"/>
      <c r="Q2" s="53"/>
      <c r="R2" s="53"/>
      <c r="S2" s="53"/>
      <c r="T2" s="53"/>
    </row>
    <row r="3" spans="1:20" ht="36.75" customHeight="1" x14ac:dyDescent="0.25">
      <c r="A3" s="54" t="s">
        <v>4</v>
      </c>
      <c r="B3" s="54" t="s">
        <v>3</v>
      </c>
      <c r="C3" s="54" t="s">
        <v>1</v>
      </c>
      <c r="D3" s="54" t="s">
        <v>2</v>
      </c>
      <c r="E3" s="54" t="s">
        <v>1</v>
      </c>
      <c r="F3" s="54" t="s">
        <v>13</v>
      </c>
      <c r="G3" s="54" t="s">
        <v>5</v>
      </c>
      <c r="H3" s="57" t="s">
        <v>8</v>
      </c>
      <c r="I3" s="18" t="s">
        <v>9</v>
      </c>
      <c r="J3" s="18" t="s">
        <v>10</v>
      </c>
      <c r="K3" s="18" t="s">
        <v>11</v>
      </c>
      <c r="L3" s="18" t="s">
        <v>12</v>
      </c>
      <c r="M3" s="18" t="s">
        <v>31</v>
      </c>
      <c r="N3" s="18" t="s">
        <v>45</v>
      </c>
      <c r="O3" s="18" t="s">
        <v>32</v>
      </c>
      <c r="P3" s="18" t="s">
        <v>34</v>
      </c>
      <c r="Q3" s="18" t="s">
        <v>35</v>
      </c>
      <c r="R3" s="18" t="s">
        <v>39</v>
      </c>
      <c r="S3" s="18" t="s">
        <v>38</v>
      </c>
      <c r="T3" s="19" t="s">
        <v>40</v>
      </c>
    </row>
    <row r="4" spans="1:20" ht="25.5" customHeight="1" x14ac:dyDescent="0.25">
      <c r="A4" s="59">
        <v>45101</v>
      </c>
      <c r="B4" s="15"/>
      <c r="C4" s="15" t="s">
        <v>14</v>
      </c>
      <c r="D4" s="15">
        <f>70+388</f>
        <v>458</v>
      </c>
      <c r="E4" s="15" t="s">
        <v>280</v>
      </c>
      <c r="F4" s="15">
        <f>SUM(G4:T4)</f>
        <v>55</v>
      </c>
      <c r="G4" s="15"/>
      <c r="H4" s="56">
        <v>55</v>
      </c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</row>
    <row r="5" spans="1:20" ht="25.5" customHeight="1" x14ac:dyDescent="0.25">
      <c r="A5" s="59">
        <v>45101</v>
      </c>
      <c r="B5" s="15"/>
      <c r="C5" s="15" t="s">
        <v>15</v>
      </c>
      <c r="D5" s="15">
        <f>998+1022</f>
        <v>2020</v>
      </c>
      <c r="E5" s="15" t="s">
        <v>281</v>
      </c>
      <c r="F5" s="15">
        <f t="shared" ref="F5:F38" si="0">SUM(G5:T5)</f>
        <v>10</v>
      </c>
      <c r="G5" s="15"/>
      <c r="H5" s="56"/>
      <c r="I5" s="15"/>
      <c r="J5" s="15"/>
      <c r="K5" s="15"/>
      <c r="L5" s="15"/>
      <c r="M5" s="15"/>
      <c r="N5" s="15"/>
      <c r="O5" s="15"/>
      <c r="P5" s="15">
        <v>10</v>
      </c>
      <c r="Q5" s="15"/>
      <c r="R5" s="15"/>
      <c r="S5" s="15"/>
      <c r="T5" s="15"/>
    </row>
    <row r="6" spans="1:20" ht="25.5" customHeight="1" x14ac:dyDescent="0.25">
      <c r="A6" s="59">
        <v>45101</v>
      </c>
      <c r="B6" s="15"/>
      <c r="C6" s="15" t="s">
        <v>16</v>
      </c>
      <c r="D6" s="15">
        <v>0</v>
      </c>
      <c r="E6" s="15" t="s">
        <v>229</v>
      </c>
      <c r="F6" s="15">
        <f t="shared" si="0"/>
        <v>100</v>
      </c>
      <c r="G6" s="15"/>
      <c r="H6" s="56"/>
      <c r="I6" s="15"/>
      <c r="J6" s="15"/>
      <c r="K6" s="15"/>
      <c r="L6" s="15"/>
      <c r="M6" s="15">
        <v>100</v>
      </c>
      <c r="N6" s="15"/>
      <c r="O6" s="15"/>
      <c r="P6" s="15"/>
      <c r="Q6" s="15"/>
      <c r="R6" s="15"/>
      <c r="S6" s="15"/>
      <c r="T6" s="15"/>
    </row>
    <row r="7" spans="1:20" ht="25.5" customHeight="1" x14ac:dyDescent="0.25">
      <c r="A7" s="59">
        <v>45101</v>
      </c>
      <c r="B7" s="15"/>
      <c r="C7" s="15" t="s">
        <v>17</v>
      </c>
      <c r="D7" s="15">
        <f>110+199</f>
        <v>309</v>
      </c>
      <c r="E7" s="15" t="s">
        <v>12</v>
      </c>
      <c r="F7" s="15">
        <f t="shared" si="0"/>
        <v>135</v>
      </c>
      <c r="G7" s="15"/>
      <c r="H7" s="56"/>
      <c r="I7" s="15"/>
      <c r="J7" s="15"/>
      <c r="K7" s="15"/>
      <c r="L7" s="15">
        <f>90+45</f>
        <v>135</v>
      </c>
      <c r="M7" s="15"/>
      <c r="N7" s="15"/>
      <c r="O7" s="15"/>
      <c r="P7" s="15"/>
      <c r="Q7" s="15"/>
      <c r="R7" s="15"/>
      <c r="S7" s="15"/>
      <c r="T7" s="15"/>
    </row>
    <row r="8" spans="1:20" ht="25.5" customHeight="1" x14ac:dyDescent="0.25">
      <c r="A8" s="59">
        <v>45101</v>
      </c>
      <c r="B8" s="15"/>
      <c r="C8" s="15" t="s">
        <v>18</v>
      </c>
      <c r="D8" s="15">
        <f>254+70+400+75+243+23+50+40+25+85</f>
        <v>1265</v>
      </c>
      <c r="E8" s="15" t="s">
        <v>124</v>
      </c>
      <c r="F8" s="15">
        <f t="shared" si="0"/>
        <v>555</v>
      </c>
      <c r="G8" s="15"/>
      <c r="H8" s="56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>
        <v>555</v>
      </c>
    </row>
    <row r="9" spans="1:20" ht="25.5" customHeight="1" x14ac:dyDescent="0.25">
      <c r="A9" s="59">
        <v>45101</v>
      </c>
      <c r="B9" s="15"/>
      <c r="C9" s="15" t="s">
        <v>30</v>
      </c>
      <c r="D9" s="15">
        <v>-1</v>
      </c>
      <c r="E9" s="15" t="s">
        <v>120</v>
      </c>
      <c r="F9" s="15">
        <f t="shared" si="0"/>
        <v>50</v>
      </c>
      <c r="G9" s="15">
        <v>50</v>
      </c>
      <c r="H9" s="56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</row>
    <row r="10" spans="1:20" ht="25.5" customHeight="1" x14ac:dyDescent="0.25">
      <c r="A10" s="59">
        <v>45101</v>
      </c>
      <c r="B10" s="15"/>
      <c r="C10" s="15" t="s">
        <v>46</v>
      </c>
      <c r="D10" s="15">
        <v>0</v>
      </c>
      <c r="E10" s="15" t="s">
        <v>83</v>
      </c>
      <c r="F10" s="15">
        <f t="shared" si="0"/>
        <v>30</v>
      </c>
      <c r="G10" s="15">
        <v>30</v>
      </c>
      <c r="H10" s="56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ht="25.5" customHeight="1" x14ac:dyDescent="0.25">
      <c r="A11" s="59">
        <v>45101</v>
      </c>
      <c r="B11" s="15"/>
      <c r="C11" s="15"/>
      <c r="D11" s="15"/>
      <c r="E11" s="15" t="s">
        <v>86</v>
      </c>
      <c r="F11" s="15">
        <f t="shared" si="0"/>
        <v>120</v>
      </c>
      <c r="G11" s="15">
        <v>120</v>
      </c>
      <c r="H11" s="56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</row>
    <row r="12" spans="1:20" ht="25.5" customHeight="1" x14ac:dyDescent="0.25">
      <c r="A12" s="59">
        <v>45101</v>
      </c>
      <c r="B12" s="15"/>
      <c r="C12" s="15"/>
      <c r="D12" s="15"/>
      <c r="E12" s="15" t="s">
        <v>100</v>
      </c>
      <c r="F12" s="15">
        <f t="shared" si="0"/>
        <v>150</v>
      </c>
      <c r="G12" s="15">
        <v>150</v>
      </c>
      <c r="H12" s="56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</row>
    <row r="13" spans="1:20" ht="25.5" customHeight="1" x14ac:dyDescent="0.25">
      <c r="A13" s="59">
        <v>45101</v>
      </c>
      <c r="B13" s="15"/>
      <c r="C13" s="15"/>
      <c r="D13" s="15"/>
      <c r="E13" s="15" t="s">
        <v>80</v>
      </c>
      <c r="F13" s="15">
        <f t="shared" si="0"/>
        <v>50</v>
      </c>
      <c r="G13" s="15">
        <v>50</v>
      </c>
      <c r="H13" s="56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ht="25.5" customHeight="1" x14ac:dyDescent="0.25">
      <c r="A14" s="59">
        <v>45101</v>
      </c>
      <c r="B14" s="15"/>
      <c r="C14" s="15"/>
      <c r="D14" s="15"/>
      <c r="E14" s="15" t="s">
        <v>117</v>
      </c>
      <c r="F14" s="15">
        <f t="shared" si="0"/>
        <v>150</v>
      </c>
      <c r="G14" s="15">
        <v>150</v>
      </c>
      <c r="H14" s="56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ht="25.5" customHeight="1" x14ac:dyDescent="0.25">
      <c r="A15" s="59">
        <v>45101</v>
      </c>
      <c r="B15" s="15"/>
      <c r="C15" s="15"/>
      <c r="D15" s="15"/>
      <c r="E15" s="15" t="s">
        <v>79</v>
      </c>
      <c r="F15" s="15">
        <f t="shared" si="0"/>
        <v>50</v>
      </c>
      <c r="G15" s="15">
        <v>50</v>
      </c>
      <c r="H15" s="56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ht="25.5" customHeight="1" x14ac:dyDescent="0.25">
      <c r="A16" s="59">
        <v>45101</v>
      </c>
      <c r="B16" s="15"/>
      <c r="C16" s="15"/>
      <c r="D16" s="15"/>
      <c r="E16" s="15" t="s">
        <v>146</v>
      </c>
      <c r="F16" s="15">
        <f t="shared" si="0"/>
        <v>150</v>
      </c>
      <c r="G16" s="15">
        <v>150</v>
      </c>
      <c r="H16" s="56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</row>
    <row r="17" spans="1:20" ht="25.5" customHeight="1" x14ac:dyDescent="0.25">
      <c r="A17" s="59"/>
      <c r="B17" s="15"/>
      <c r="C17" s="15"/>
      <c r="D17" s="15"/>
      <c r="E17" s="15" t="s">
        <v>74</v>
      </c>
      <c r="F17" s="15">
        <f t="shared" si="0"/>
        <v>160</v>
      </c>
      <c r="G17" s="15">
        <v>160</v>
      </c>
      <c r="H17" s="56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</row>
    <row r="18" spans="1:20" ht="25.5" customHeight="1" x14ac:dyDescent="0.25">
      <c r="A18" s="59"/>
      <c r="B18" s="15"/>
      <c r="C18" s="15"/>
      <c r="D18" s="15"/>
      <c r="E18" s="15" t="s">
        <v>73</v>
      </c>
      <c r="F18" s="15">
        <f t="shared" si="0"/>
        <v>170</v>
      </c>
      <c r="G18" s="15">
        <v>170</v>
      </c>
      <c r="H18" s="56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ht="25.5" customHeight="1" x14ac:dyDescent="0.25">
      <c r="A19" s="59"/>
      <c r="B19" s="15"/>
      <c r="C19" s="15"/>
      <c r="D19" s="15"/>
      <c r="E19" s="15" t="s">
        <v>77</v>
      </c>
      <c r="F19" s="15">
        <f t="shared" si="0"/>
        <v>100</v>
      </c>
      <c r="G19" s="15">
        <v>100</v>
      </c>
      <c r="H19" s="56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ht="25.5" customHeight="1" x14ac:dyDescent="0.25">
      <c r="A20" s="59"/>
      <c r="B20" s="15"/>
      <c r="C20" s="15"/>
      <c r="D20" s="15"/>
      <c r="E20" s="15" t="s">
        <v>121</v>
      </c>
      <c r="F20" s="15">
        <f t="shared" si="0"/>
        <v>160</v>
      </c>
      <c r="G20" s="15">
        <v>160</v>
      </c>
      <c r="H20" s="56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ht="25.5" customHeight="1" x14ac:dyDescent="0.25">
      <c r="A21" s="59"/>
      <c r="B21" s="15"/>
      <c r="C21" s="15"/>
      <c r="D21" s="15"/>
      <c r="E21" s="15"/>
      <c r="F21" s="15">
        <f t="shared" si="0"/>
        <v>0</v>
      </c>
      <c r="G21" s="15"/>
      <c r="H21" s="56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25.5" customHeight="1" x14ac:dyDescent="0.25">
      <c r="A22" s="59"/>
      <c r="B22" s="15"/>
      <c r="C22" s="15"/>
      <c r="D22" s="15"/>
      <c r="E22" s="15"/>
      <c r="F22" s="15">
        <f t="shared" si="0"/>
        <v>0</v>
      </c>
      <c r="G22" s="15"/>
      <c r="H22" s="56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</row>
    <row r="23" spans="1:20" ht="25.5" customHeight="1" x14ac:dyDescent="0.25">
      <c r="A23" s="59"/>
      <c r="B23" s="15"/>
      <c r="C23" s="15"/>
      <c r="D23" s="15"/>
      <c r="E23" s="15"/>
      <c r="F23" s="15">
        <f t="shared" si="0"/>
        <v>0</v>
      </c>
      <c r="G23" s="15"/>
      <c r="H23" s="56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</row>
    <row r="24" spans="1:20" ht="25.5" customHeight="1" x14ac:dyDescent="0.25">
      <c r="A24" s="59"/>
      <c r="B24" s="15"/>
      <c r="C24" s="15"/>
      <c r="D24" s="15"/>
      <c r="E24" s="15"/>
      <c r="F24" s="15">
        <f t="shared" si="0"/>
        <v>0</v>
      </c>
      <c r="G24" s="15"/>
      <c r="H24" s="56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</row>
    <row r="25" spans="1:20" ht="25.5" customHeight="1" x14ac:dyDescent="0.25">
      <c r="A25" s="59"/>
      <c r="B25" s="15"/>
      <c r="C25" s="15"/>
      <c r="D25" s="15"/>
      <c r="E25" s="15"/>
      <c r="F25" s="15">
        <f t="shared" si="0"/>
        <v>0</v>
      </c>
      <c r="G25" s="15"/>
      <c r="H25" s="56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</row>
    <row r="26" spans="1:20" ht="25.5" customHeight="1" x14ac:dyDescent="0.25">
      <c r="A26" s="59"/>
      <c r="B26" s="15"/>
      <c r="C26" s="15"/>
      <c r="D26" s="15"/>
      <c r="E26" s="15"/>
      <c r="F26" s="15">
        <f t="shared" si="0"/>
        <v>0</v>
      </c>
      <c r="G26" s="15"/>
      <c r="H26" s="56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</row>
    <row r="27" spans="1:20" ht="25.5" customHeight="1" x14ac:dyDescent="0.25">
      <c r="A27" s="59"/>
      <c r="B27" s="15"/>
      <c r="C27" s="15"/>
      <c r="D27" s="15"/>
      <c r="E27" s="15"/>
      <c r="F27" s="15">
        <f t="shared" si="0"/>
        <v>0</v>
      </c>
      <c r="G27" s="15"/>
      <c r="H27" s="56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</row>
    <row r="28" spans="1:20" ht="25.5" customHeight="1" x14ac:dyDescent="0.25">
      <c r="A28" s="59"/>
      <c r="B28" s="15"/>
      <c r="C28" s="15"/>
      <c r="D28" s="15"/>
      <c r="E28" s="15"/>
      <c r="F28" s="15">
        <f t="shared" si="0"/>
        <v>0</v>
      </c>
      <c r="G28" s="15"/>
      <c r="H28" s="56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</row>
    <row r="29" spans="1:20" ht="25.5" customHeight="1" x14ac:dyDescent="0.25">
      <c r="A29" s="59"/>
      <c r="B29" s="15">
        <v>45068</v>
      </c>
      <c r="C29" s="15"/>
      <c r="D29" s="15"/>
      <c r="E29" s="15"/>
      <c r="F29" s="15">
        <f t="shared" si="0"/>
        <v>0</v>
      </c>
      <c r="G29" s="15"/>
      <c r="H29" s="56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</row>
    <row r="30" spans="1:20" ht="25.5" customHeight="1" x14ac:dyDescent="0.25">
      <c r="A30" s="59"/>
      <c r="B30" s="15"/>
      <c r="C30" s="15"/>
      <c r="D30" s="15"/>
      <c r="E30" s="15"/>
      <c r="F30" s="15">
        <f t="shared" si="0"/>
        <v>0</v>
      </c>
      <c r="G30" s="15"/>
      <c r="H30" s="56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</row>
    <row r="31" spans="1:20" ht="25.5" customHeight="1" x14ac:dyDescent="0.25">
      <c r="A31" s="59"/>
      <c r="B31" s="15"/>
      <c r="C31" s="15"/>
      <c r="D31" s="15"/>
      <c r="E31" s="15"/>
      <c r="F31" s="15">
        <f t="shared" si="0"/>
        <v>0</v>
      </c>
      <c r="G31" s="15"/>
      <c r="H31" s="56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</row>
    <row r="32" spans="1:20" ht="25.5" customHeight="1" x14ac:dyDescent="0.25">
      <c r="A32" s="59"/>
      <c r="B32" s="15"/>
      <c r="C32" s="15"/>
      <c r="D32" s="15"/>
      <c r="E32" s="15"/>
      <c r="F32" s="15">
        <f t="shared" si="0"/>
        <v>0</v>
      </c>
      <c r="G32" s="15"/>
      <c r="H32" s="56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</row>
    <row r="33" spans="1:20" ht="25.5" customHeight="1" x14ac:dyDescent="0.25">
      <c r="A33" s="59"/>
      <c r="B33" s="15"/>
      <c r="C33" s="15"/>
      <c r="D33" s="15"/>
      <c r="E33" s="15"/>
      <c r="F33" s="15">
        <f t="shared" si="0"/>
        <v>0</v>
      </c>
      <c r="G33" s="15"/>
      <c r="H33" s="56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</row>
    <row r="34" spans="1:20" ht="25.5" customHeight="1" x14ac:dyDescent="0.25">
      <c r="A34" s="59"/>
      <c r="B34" s="15"/>
      <c r="C34" s="15"/>
      <c r="D34" s="15"/>
      <c r="E34" s="15"/>
      <c r="F34" s="15">
        <f t="shared" si="0"/>
        <v>0</v>
      </c>
      <c r="G34" s="15"/>
      <c r="H34" s="56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</row>
    <row r="35" spans="1:20" ht="25.5" customHeight="1" x14ac:dyDescent="0.25">
      <c r="A35" s="59"/>
      <c r="B35" s="15"/>
      <c r="C35" s="15"/>
      <c r="D35" s="15"/>
      <c r="E35" s="15"/>
      <c r="F35" s="15">
        <f t="shared" si="0"/>
        <v>0</v>
      </c>
      <c r="G35" s="15"/>
      <c r="H35" s="56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</row>
    <row r="36" spans="1:20" ht="25.5" customHeight="1" x14ac:dyDescent="0.25">
      <c r="A36" s="59"/>
      <c r="B36" s="15"/>
      <c r="C36" s="15"/>
      <c r="D36" s="15"/>
      <c r="E36" s="15"/>
      <c r="F36" s="15">
        <f t="shared" si="0"/>
        <v>0</v>
      </c>
      <c r="G36" s="15"/>
      <c r="H36" s="56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</row>
    <row r="37" spans="1:20" ht="25.5" customHeight="1" x14ac:dyDescent="0.25">
      <c r="A37" s="59"/>
      <c r="B37" s="15"/>
      <c r="C37" s="15"/>
      <c r="D37" s="15"/>
      <c r="E37" s="15"/>
      <c r="F37" s="15">
        <f t="shared" si="0"/>
        <v>0</v>
      </c>
      <c r="G37" s="15"/>
      <c r="H37" s="56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</row>
    <row r="38" spans="1:20" ht="25.5" customHeight="1" x14ac:dyDescent="0.25">
      <c r="A38" s="59"/>
      <c r="B38" s="15">
        <v>45068</v>
      </c>
      <c r="C38" s="15"/>
      <c r="D38" s="15"/>
      <c r="E38" s="15"/>
      <c r="F38" s="15">
        <f t="shared" si="0"/>
        <v>0</v>
      </c>
      <c r="G38" s="15"/>
      <c r="H38" s="56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</row>
    <row r="39" spans="1:20" ht="41.25" customHeight="1" x14ac:dyDescent="0.25">
      <c r="A39" s="161" t="s">
        <v>6</v>
      </c>
      <c r="B39" s="161"/>
      <c r="C39" s="161"/>
      <c r="D39" s="15">
        <f>SUM(D4:D38)</f>
        <v>4051</v>
      </c>
      <c r="E39" s="55"/>
      <c r="F39" s="15">
        <f>SUM(F4:F38)</f>
        <v>2195</v>
      </c>
      <c r="G39" s="15">
        <f t="shared" ref="G39:T39" si="1">SUM(G4:G38)</f>
        <v>1340</v>
      </c>
      <c r="H39" s="56">
        <f t="shared" si="1"/>
        <v>55</v>
      </c>
      <c r="I39" s="15">
        <f t="shared" si="1"/>
        <v>0</v>
      </c>
      <c r="J39" s="15">
        <f t="shared" si="1"/>
        <v>0</v>
      </c>
      <c r="K39" s="15">
        <f t="shared" si="1"/>
        <v>0</v>
      </c>
      <c r="L39" s="15">
        <f t="shared" si="1"/>
        <v>135</v>
      </c>
      <c r="M39" s="15">
        <f t="shared" si="1"/>
        <v>100</v>
      </c>
      <c r="N39" s="15">
        <f t="shared" si="1"/>
        <v>0</v>
      </c>
      <c r="O39" s="15">
        <f t="shared" si="1"/>
        <v>0</v>
      </c>
      <c r="P39" s="15">
        <f t="shared" si="1"/>
        <v>10</v>
      </c>
      <c r="Q39" s="15">
        <f t="shared" si="1"/>
        <v>0</v>
      </c>
      <c r="R39" s="15">
        <f t="shared" si="1"/>
        <v>0</v>
      </c>
      <c r="S39" s="15">
        <f t="shared" si="1"/>
        <v>0</v>
      </c>
      <c r="T39" s="15">
        <f t="shared" si="1"/>
        <v>555</v>
      </c>
    </row>
    <row r="40" spans="1:20" ht="15.75" thickBot="1" x14ac:dyDescent="0.3"/>
    <row r="41" spans="1:20" ht="30.75" customHeight="1" thickTop="1" thickBot="1" x14ac:dyDescent="0.3">
      <c r="E41" s="2" t="s">
        <v>26</v>
      </c>
      <c r="F41" s="3" t="s">
        <v>27</v>
      </c>
      <c r="G41" s="4" t="s">
        <v>28</v>
      </c>
    </row>
    <row r="42" spans="1:20" ht="48.75" customHeight="1" thickTop="1" x14ac:dyDescent="0.25">
      <c r="A42" s="2" t="s">
        <v>19</v>
      </c>
      <c r="B42" s="6">
        <f>+D39</f>
        <v>4051</v>
      </c>
      <c r="C42" s="7"/>
      <c r="E42" s="5">
        <v>200</v>
      </c>
      <c r="F42" s="6"/>
      <c r="G42" s="7">
        <f>+E42*F42</f>
        <v>0</v>
      </c>
    </row>
    <row r="43" spans="1:20" ht="46.5" customHeight="1" x14ac:dyDescent="0.25">
      <c r="A43" s="9" t="s">
        <v>20</v>
      </c>
      <c r="B43" s="6">
        <f>D8</f>
        <v>1265</v>
      </c>
      <c r="C43" s="7"/>
      <c r="E43" s="5">
        <v>100</v>
      </c>
      <c r="F43" s="6">
        <v>5</v>
      </c>
      <c r="G43" s="7">
        <f t="shared" ref="G43:G45" si="2">+E43*F43</f>
        <v>500</v>
      </c>
    </row>
    <row r="44" spans="1:20" ht="46.5" customHeight="1" x14ac:dyDescent="0.25">
      <c r="A44" s="9" t="s">
        <v>21</v>
      </c>
      <c r="B44" s="6">
        <f>F39</f>
        <v>2195</v>
      </c>
      <c r="C44" s="7"/>
      <c r="E44" s="5">
        <v>50</v>
      </c>
      <c r="F44" s="6">
        <v>1</v>
      </c>
      <c r="G44" s="7">
        <f t="shared" si="2"/>
        <v>50</v>
      </c>
    </row>
    <row r="45" spans="1:20" ht="51.75" customHeight="1" x14ac:dyDescent="0.25">
      <c r="A45" s="9" t="s">
        <v>22</v>
      </c>
      <c r="B45" s="11">
        <f>+B42-B43-B44</f>
        <v>591</v>
      </c>
      <c r="C45" s="12"/>
      <c r="E45" s="5">
        <v>20</v>
      </c>
      <c r="F45" s="6">
        <v>2</v>
      </c>
      <c r="G45" s="7">
        <f t="shared" si="2"/>
        <v>40</v>
      </c>
    </row>
    <row r="46" spans="1:20" ht="46.5" customHeight="1" x14ac:dyDescent="0.25">
      <c r="A46" s="9" t="s">
        <v>23</v>
      </c>
      <c r="B46" s="11">
        <f>G49</f>
        <v>591</v>
      </c>
      <c r="C46" s="12"/>
      <c r="D46" s="1"/>
      <c r="E46" s="5">
        <v>10</v>
      </c>
      <c r="F46" s="6"/>
      <c r="G46" s="7">
        <f>+E46*F46</f>
        <v>0</v>
      </c>
    </row>
    <row r="47" spans="1:20" ht="34.5" customHeight="1" x14ac:dyDescent="0.25">
      <c r="A47" s="9" t="s">
        <v>24</v>
      </c>
      <c r="B47" s="11">
        <f>IF(B45&lt;B46,B46-B45,0)</f>
        <v>0</v>
      </c>
      <c r="C47" s="12"/>
      <c r="E47" s="5">
        <v>5</v>
      </c>
      <c r="F47" s="6"/>
      <c r="G47" s="7">
        <f>+E47*F47</f>
        <v>0</v>
      </c>
    </row>
    <row r="48" spans="1:20" ht="36.75" customHeight="1" x14ac:dyDescent="0.25">
      <c r="A48" s="9" t="s">
        <v>7</v>
      </c>
      <c r="B48" s="11">
        <f>IF(B45&gt;B46,B45-B46,0)</f>
        <v>0</v>
      </c>
      <c r="C48" s="12"/>
      <c r="E48" s="5">
        <v>1</v>
      </c>
      <c r="F48" s="6">
        <v>1</v>
      </c>
      <c r="G48" s="7">
        <f>+E48*F48</f>
        <v>1</v>
      </c>
    </row>
    <row r="49" spans="1:7" ht="30" customHeight="1" thickBot="1" x14ac:dyDescent="0.35">
      <c r="A49" s="10" t="s">
        <v>29</v>
      </c>
      <c r="B49" s="13" t="b">
        <f>B45=B46</f>
        <v>1</v>
      </c>
      <c r="C49" s="14"/>
      <c r="E49" s="159" t="s">
        <v>25</v>
      </c>
      <c r="F49" s="160"/>
      <c r="G49" s="8">
        <f>SUM(G42:G48)</f>
        <v>591</v>
      </c>
    </row>
    <row r="50" spans="1:7" ht="15.75" thickTop="1" x14ac:dyDescent="0.25"/>
  </sheetData>
  <mergeCells count="3">
    <mergeCell ref="E49:F49"/>
    <mergeCell ref="E2:L2"/>
    <mergeCell ref="A39:C39"/>
  </mergeCells>
  <printOptions horizontalCentered="1" verticalCentered="1"/>
  <pageMargins left="1.6929133858267718" right="0.94488188976377963" top="0.39370078740157483" bottom="0.19685039370078741" header="0.39370078740157483" footer="0.19685039370078741"/>
  <pageSetup scale="32" orientation="landscape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0"/>
  <sheetViews>
    <sheetView rightToLeft="1" topLeftCell="A44" zoomScale="78" zoomScaleNormal="78" workbookViewId="0">
      <selection activeCell="U47" sqref="U47:U48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4.14062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6" bestFit="1" customWidth="1"/>
    <col min="16" max="16" width="15.7109375" bestFit="1" customWidth="1"/>
    <col min="18" max="18" width="15.85546875" bestFit="1" customWidth="1"/>
    <col min="19" max="19" width="14" customWidth="1"/>
    <col min="20" max="20" width="10.140625" customWidth="1"/>
  </cols>
  <sheetData>
    <row r="1" spans="1:20" ht="15.75" hidden="1" thickBot="1" x14ac:dyDescent="0.3"/>
    <row r="2" spans="1:20" ht="25.5" customHeight="1" thickBot="1" x14ac:dyDescent="0.3">
      <c r="A2" s="50" t="s">
        <v>0</v>
      </c>
      <c r="B2" s="51"/>
      <c r="C2" s="51"/>
      <c r="D2" s="52"/>
      <c r="E2" s="157">
        <f ca="1">TODAY()</f>
        <v>45118</v>
      </c>
      <c r="F2" s="158"/>
      <c r="G2" s="158"/>
      <c r="H2" s="158"/>
      <c r="I2" s="158"/>
      <c r="J2" s="158"/>
      <c r="K2" s="158"/>
      <c r="L2" s="158"/>
      <c r="M2" s="53"/>
      <c r="N2" s="53"/>
      <c r="O2" s="53"/>
      <c r="P2" s="53"/>
      <c r="Q2" s="53"/>
      <c r="R2" s="53"/>
      <c r="S2" s="53"/>
      <c r="T2" s="53"/>
    </row>
    <row r="3" spans="1:20" ht="36.75" customHeight="1" x14ac:dyDescent="0.25">
      <c r="A3" s="54" t="s">
        <v>4</v>
      </c>
      <c r="B3" s="54" t="s">
        <v>3</v>
      </c>
      <c r="C3" s="54" t="s">
        <v>1</v>
      </c>
      <c r="D3" s="54" t="s">
        <v>2</v>
      </c>
      <c r="E3" s="54" t="s">
        <v>1</v>
      </c>
      <c r="F3" s="54" t="s">
        <v>13</v>
      </c>
      <c r="G3" s="54" t="s">
        <v>5</v>
      </c>
      <c r="H3" s="57" t="s">
        <v>8</v>
      </c>
      <c r="I3" s="18" t="s">
        <v>9</v>
      </c>
      <c r="J3" s="18" t="s">
        <v>10</v>
      </c>
      <c r="K3" s="18" t="s">
        <v>11</v>
      </c>
      <c r="L3" s="18" t="s">
        <v>12</v>
      </c>
      <c r="M3" s="18" t="s">
        <v>31</v>
      </c>
      <c r="N3" s="18" t="s">
        <v>45</v>
      </c>
      <c r="O3" s="18" t="s">
        <v>32</v>
      </c>
      <c r="P3" s="18" t="s">
        <v>34</v>
      </c>
      <c r="Q3" s="18" t="s">
        <v>35</v>
      </c>
      <c r="R3" s="18" t="s">
        <v>39</v>
      </c>
      <c r="S3" s="18" t="s">
        <v>38</v>
      </c>
      <c r="T3" s="19" t="s">
        <v>40</v>
      </c>
    </row>
    <row r="4" spans="1:20" ht="25.5" customHeight="1" x14ac:dyDescent="0.25">
      <c r="A4" s="59">
        <v>45102</v>
      </c>
      <c r="B4" s="15"/>
      <c r="C4" s="15" t="s">
        <v>14</v>
      </c>
      <c r="D4" s="15">
        <f>236+511</f>
        <v>747</v>
      </c>
      <c r="E4" s="15" t="s">
        <v>288</v>
      </c>
      <c r="F4" s="15">
        <f>SUM(G4:T4)</f>
        <v>60</v>
      </c>
      <c r="G4" s="15"/>
      <c r="H4" s="56">
        <v>60</v>
      </c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</row>
    <row r="5" spans="1:20" ht="25.5" customHeight="1" x14ac:dyDescent="0.25">
      <c r="A5" s="59">
        <v>45102</v>
      </c>
      <c r="B5" s="15"/>
      <c r="C5" s="15" t="s">
        <v>15</v>
      </c>
      <c r="D5" s="15">
        <f>1568+1468</f>
        <v>3036</v>
      </c>
      <c r="E5" s="15" t="s">
        <v>12</v>
      </c>
      <c r="F5" s="15">
        <f t="shared" ref="F5:F38" si="0">SUM(G5:T5)</f>
        <v>135</v>
      </c>
      <c r="G5" s="15"/>
      <c r="H5" s="56"/>
      <c r="I5" s="15"/>
      <c r="J5" s="15"/>
      <c r="K5" s="15"/>
      <c r="L5" s="15">
        <f>90+45</f>
        <v>135</v>
      </c>
      <c r="M5" s="15"/>
      <c r="N5" s="15"/>
      <c r="O5" s="15"/>
      <c r="P5" s="15"/>
      <c r="Q5" s="15"/>
      <c r="R5" s="15"/>
      <c r="S5" s="15"/>
      <c r="T5" s="15"/>
    </row>
    <row r="6" spans="1:20" ht="25.5" customHeight="1" x14ac:dyDescent="0.25">
      <c r="A6" s="59">
        <v>45102</v>
      </c>
      <c r="B6" s="15"/>
      <c r="C6" s="15" t="s">
        <v>16</v>
      </c>
      <c r="D6" s="15">
        <v>0</v>
      </c>
      <c r="E6" s="15" t="s">
        <v>112</v>
      </c>
      <c r="F6" s="15">
        <f t="shared" si="0"/>
        <v>250</v>
      </c>
      <c r="G6" s="15"/>
      <c r="H6" s="56"/>
      <c r="I6" s="15"/>
      <c r="J6" s="15"/>
      <c r="K6" s="15"/>
      <c r="L6" s="15"/>
      <c r="M6" s="15"/>
      <c r="N6" s="15"/>
      <c r="O6" s="15"/>
      <c r="P6" s="15"/>
      <c r="Q6" s="15"/>
      <c r="R6" s="15">
        <v>250</v>
      </c>
      <c r="S6" s="15"/>
      <c r="T6" s="15"/>
    </row>
    <row r="7" spans="1:20" ht="25.5" customHeight="1" x14ac:dyDescent="0.25">
      <c r="A7" s="59">
        <v>45102</v>
      </c>
      <c r="B7" s="15"/>
      <c r="C7" s="15" t="s">
        <v>17</v>
      </c>
      <c r="D7" s="15">
        <f>92+165</f>
        <v>257</v>
      </c>
      <c r="E7" s="15" t="s">
        <v>114</v>
      </c>
      <c r="F7" s="15">
        <f t="shared" si="0"/>
        <v>20</v>
      </c>
      <c r="G7" s="15"/>
      <c r="H7" s="56"/>
      <c r="I7" s="15"/>
      <c r="J7" s="15"/>
      <c r="K7" s="15"/>
      <c r="L7" s="15"/>
      <c r="M7" s="15"/>
      <c r="N7" s="15"/>
      <c r="O7" s="15"/>
      <c r="P7" s="15">
        <f>10+10</f>
        <v>20</v>
      </c>
      <c r="Q7" s="15"/>
      <c r="R7" s="15"/>
      <c r="S7" s="15"/>
      <c r="T7" s="15"/>
    </row>
    <row r="8" spans="1:20" ht="25.5" customHeight="1" x14ac:dyDescent="0.25">
      <c r="A8" s="59">
        <v>45102</v>
      </c>
      <c r="B8" s="15"/>
      <c r="C8" s="15" t="s">
        <v>18</v>
      </c>
      <c r="D8" s="15">
        <f>106+25+30+90+25+100+45+25+30+24+2000</f>
        <v>2500</v>
      </c>
      <c r="E8" s="15" t="s">
        <v>248</v>
      </c>
      <c r="F8" s="15">
        <f t="shared" si="0"/>
        <v>555</v>
      </c>
      <c r="G8" s="15"/>
      <c r="H8" s="56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>
        <v>555</v>
      </c>
    </row>
    <row r="9" spans="1:20" ht="25.5" customHeight="1" x14ac:dyDescent="0.25">
      <c r="A9" s="59">
        <v>45102</v>
      </c>
      <c r="B9" s="15"/>
      <c r="C9" s="15" t="s">
        <v>30</v>
      </c>
      <c r="D9" s="15">
        <v>0</v>
      </c>
      <c r="E9" s="15" t="s">
        <v>73</v>
      </c>
      <c r="F9" s="15">
        <f t="shared" si="0"/>
        <v>170</v>
      </c>
      <c r="G9" s="15">
        <v>170</v>
      </c>
      <c r="H9" s="56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</row>
    <row r="10" spans="1:20" ht="25.5" customHeight="1" x14ac:dyDescent="0.25">
      <c r="A10" s="59">
        <v>45102</v>
      </c>
      <c r="B10" s="15"/>
      <c r="C10" s="15" t="s">
        <v>46</v>
      </c>
      <c r="D10" s="15">
        <v>0</v>
      </c>
      <c r="E10" s="15" t="s">
        <v>74</v>
      </c>
      <c r="F10" s="15">
        <f t="shared" si="0"/>
        <v>160</v>
      </c>
      <c r="G10" s="15">
        <v>160</v>
      </c>
      <c r="H10" s="56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ht="25.5" customHeight="1" x14ac:dyDescent="0.25">
      <c r="A11" s="59">
        <v>45102</v>
      </c>
      <c r="B11" s="15"/>
      <c r="C11" s="15"/>
      <c r="D11" s="15"/>
      <c r="E11" s="15" t="s">
        <v>117</v>
      </c>
      <c r="F11" s="15">
        <f t="shared" si="0"/>
        <v>150</v>
      </c>
      <c r="G11" s="15">
        <v>150</v>
      </c>
      <c r="H11" s="56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</row>
    <row r="12" spans="1:20" ht="25.5" customHeight="1" x14ac:dyDescent="0.25">
      <c r="A12" s="59">
        <v>45102</v>
      </c>
      <c r="B12" s="15"/>
      <c r="C12" s="15"/>
      <c r="D12" s="15"/>
      <c r="E12" s="15" t="s">
        <v>146</v>
      </c>
      <c r="F12" s="15">
        <f t="shared" si="0"/>
        <v>150</v>
      </c>
      <c r="G12" s="15">
        <v>150</v>
      </c>
      <c r="H12" s="56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</row>
    <row r="13" spans="1:20" ht="25.5" customHeight="1" x14ac:dyDescent="0.25">
      <c r="A13" s="59">
        <v>45102</v>
      </c>
      <c r="B13" s="15"/>
      <c r="C13" s="15"/>
      <c r="D13" s="15"/>
      <c r="E13" s="15" t="s">
        <v>79</v>
      </c>
      <c r="F13" s="15">
        <f t="shared" si="0"/>
        <v>50</v>
      </c>
      <c r="G13" s="15">
        <v>50</v>
      </c>
      <c r="H13" s="56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ht="25.5" customHeight="1" x14ac:dyDescent="0.25">
      <c r="A14" s="59">
        <v>45102</v>
      </c>
      <c r="B14" s="15"/>
      <c r="C14" s="15"/>
      <c r="D14" s="15"/>
      <c r="E14" s="15" t="s">
        <v>121</v>
      </c>
      <c r="F14" s="15">
        <f t="shared" si="0"/>
        <v>160</v>
      </c>
      <c r="G14" s="15">
        <v>160</v>
      </c>
      <c r="H14" s="56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ht="25.5" customHeight="1" x14ac:dyDescent="0.25">
      <c r="A15" s="59">
        <v>45102</v>
      </c>
      <c r="B15" s="15"/>
      <c r="C15" s="15"/>
      <c r="D15" s="15"/>
      <c r="E15" s="15" t="s">
        <v>127</v>
      </c>
      <c r="F15" s="15">
        <f t="shared" si="0"/>
        <v>200</v>
      </c>
      <c r="G15" s="15">
        <v>200</v>
      </c>
      <c r="H15" s="56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ht="25.5" customHeight="1" x14ac:dyDescent="0.25">
      <c r="A16" s="59">
        <v>45102</v>
      </c>
      <c r="B16" s="15"/>
      <c r="C16" s="15"/>
      <c r="D16" s="15"/>
      <c r="E16" s="15" t="s">
        <v>77</v>
      </c>
      <c r="F16" s="15">
        <f t="shared" si="0"/>
        <v>100</v>
      </c>
      <c r="G16" s="15">
        <v>100</v>
      </c>
      <c r="H16" s="56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</row>
    <row r="17" spans="1:20" ht="25.5" customHeight="1" x14ac:dyDescent="0.25">
      <c r="A17" s="59">
        <v>45102</v>
      </c>
      <c r="B17" s="15"/>
      <c r="C17" s="15"/>
      <c r="D17" s="15"/>
      <c r="E17" s="15" t="s">
        <v>83</v>
      </c>
      <c r="F17" s="15">
        <f t="shared" si="0"/>
        <v>30</v>
      </c>
      <c r="G17" s="15">
        <v>30</v>
      </c>
      <c r="H17" s="56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</row>
    <row r="18" spans="1:20" ht="25.5" customHeight="1" x14ac:dyDescent="0.25">
      <c r="A18" s="59">
        <v>45102</v>
      </c>
      <c r="B18" s="15"/>
      <c r="C18" s="15"/>
      <c r="D18" s="15"/>
      <c r="E18" s="15" t="s">
        <v>84</v>
      </c>
      <c r="F18" s="15">
        <f t="shared" si="0"/>
        <v>170</v>
      </c>
      <c r="G18" s="15">
        <v>170</v>
      </c>
      <c r="H18" s="56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ht="25.5" customHeight="1" x14ac:dyDescent="0.25">
      <c r="A19" s="59">
        <v>45102</v>
      </c>
      <c r="B19" s="15"/>
      <c r="C19" s="15"/>
      <c r="D19" s="15"/>
      <c r="E19" s="15" t="s">
        <v>88</v>
      </c>
      <c r="F19" s="15">
        <f t="shared" si="0"/>
        <v>150</v>
      </c>
      <c r="G19" s="15">
        <v>150</v>
      </c>
      <c r="H19" s="56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ht="25.5" customHeight="1" x14ac:dyDescent="0.25">
      <c r="A20" s="59">
        <v>45102</v>
      </c>
      <c r="B20" s="15"/>
      <c r="C20" s="15"/>
      <c r="D20" s="15"/>
      <c r="E20" s="15" t="s">
        <v>86</v>
      </c>
      <c r="F20" s="15">
        <f t="shared" si="0"/>
        <v>120</v>
      </c>
      <c r="G20" s="15">
        <v>120</v>
      </c>
      <c r="H20" s="56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ht="25.5" customHeight="1" x14ac:dyDescent="0.25">
      <c r="A21" s="59">
        <v>45102</v>
      </c>
      <c r="B21" s="15"/>
      <c r="C21" s="15"/>
      <c r="D21" s="15"/>
      <c r="E21" s="15" t="s">
        <v>80</v>
      </c>
      <c r="F21" s="15">
        <f t="shared" si="0"/>
        <v>50</v>
      </c>
      <c r="G21" s="15">
        <v>50</v>
      </c>
      <c r="H21" s="56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25.5" customHeight="1" x14ac:dyDescent="0.25">
      <c r="A22" s="59">
        <v>45102</v>
      </c>
      <c r="B22" s="15"/>
      <c r="C22" s="15"/>
      <c r="D22" s="15"/>
      <c r="E22" s="15" t="s">
        <v>110</v>
      </c>
      <c r="F22" s="15">
        <f t="shared" si="0"/>
        <v>100</v>
      </c>
      <c r="G22" s="15">
        <v>100</v>
      </c>
      <c r="H22" s="56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</row>
    <row r="23" spans="1:20" ht="25.5" customHeight="1" x14ac:dyDescent="0.25">
      <c r="A23" s="59">
        <v>45102</v>
      </c>
      <c r="B23" s="15"/>
      <c r="C23" s="15"/>
      <c r="D23" s="15"/>
      <c r="E23" s="15" t="s">
        <v>289</v>
      </c>
      <c r="F23" s="15">
        <f t="shared" si="0"/>
        <v>50</v>
      </c>
      <c r="G23" s="15">
        <v>50</v>
      </c>
      <c r="H23" s="56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</row>
    <row r="24" spans="1:20" ht="25.5" customHeight="1" x14ac:dyDescent="0.25">
      <c r="A24" s="59">
        <v>45102</v>
      </c>
      <c r="B24" s="15"/>
      <c r="C24" s="15"/>
      <c r="D24" s="15"/>
      <c r="E24" s="15" t="s">
        <v>302</v>
      </c>
      <c r="F24" s="15">
        <f t="shared" si="0"/>
        <v>300</v>
      </c>
      <c r="G24" s="15">
        <v>300</v>
      </c>
      <c r="H24" s="56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</row>
    <row r="25" spans="1:20" ht="25.5" customHeight="1" x14ac:dyDescent="0.25">
      <c r="A25" s="59">
        <v>45102</v>
      </c>
      <c r="B25" s="15"/>
      <c r="C25" s="15"/>
      <c r="D25" s="15"/>
      <c r="E25" s="15" t="s">
        <v>303</v>
      </c>
      <c r="F25" s="15">
        <f t="shared" si="0"/>
        <v>200</v>
      </c>
      <c r="G25" s="15">
        <v>200</v>
      </c>
      <c r="H25" s="56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</row>
    <row r="26" spans="1:20" ht="25.5" customHeight="1" x14ac:dyDescent="0.25">
      <c r="A26" s="59">
        <v>45102</v>
      </c>
      <c r="B26" s="15"/>
      <c r="C26" s="15"/>
      <c r="D26" s="15"/>
      <c r="E26" s="15"/>
      <c r="F26" s="15">
        <f t="shared" si="0"/>
        <v>0</v>
      </c>
      <c r="G26" s="15"/>
      <c r="H26" s="56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</row>
    <row r="27" spans="1:20" ht="25.5" customHeight="1" x14ac:dyDescent="0.25">
      <c r="A27" s="59">
        <v>45102</v>
      </c>
      <c r="B27" s="15"/>
      <c r="C27" s="15"/>
      <c r="D27" s="15"/>
      <c r="E27" s="15"/>
      <c r="F27" s="15">
        <f t="shared" si="0"/>
        <v>0</v>
      </c>
      <c r="G27" s="15"/>
      <c r="H27" s="56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</row>
    <row r="28" spans="1:20" ht="25.5" customHeight="1" x14ac:dyDescent="0.25">
      <c r="A28" s="59">
        <v>45102</v>
      </c>
      <c r="B28" s="15"/>
      <c r="C28" s="15"/>
      <c r="D28" s="15"/>
      <c r="E28" s="15"/>
      <c r="F28" s="15">
        <f t="shared" si="0"/>
        <v>0</v>
      </c>
      <c r="G28" s="15"/>
      <c r="H28" s="56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</row>
    <row r="29" spans="1:20" ht="25.5" customHeight="1" x14ac:dyDescent="0.25">
      <c r="A29" s="59">
        <v>45102</v>
      </c>
      <c r="B29" s="15"/>
      <c r="C29" s="15"/>
      <c r="D29" s="15"/>
      <c r="E29" s="15"/>
      <c r="F29" s="15">
        <f t="shared" si="0"/>
        <v>0</v>
      </c>
      <c r="G29" s="15"/>
      <c r="H29" s="56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</row>
    <row r="30" spans="1:20" ht="25.5" customHeight="1" x14ac:dyDescent="0.25">
      <c r="A30" s="59">
        <v>45102</v>
      </c>
      <c r="B30" s="15"/>
      <c r="C30" s="15"/>
      <c r="D30" s="15"/>
      <c r="E30" s="15"/>
      <c r="F30" s="15">
        <f t="shared" si="0"/>
        <v>0</v>
      </c>
      <c r="G30" s="15"/>
      <c r="H30" s="56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</row>
    <row r="31" spans="1:20" ht="25.5" customHeight="1" x14ac:dyDescent="0.25">
      <c r="A31" s="59">
        <v>45102</v>
      </c>
      <c r="B31" s="15"/>
      <c r="C31" s="15"/>
      <c r="D31" s="15"/>
      <c r="E31" s="15"/>
      <c r="F31" s="15">
        <f t="shared" si="0"/>
        <v>0</v>
      </c>
      <c r="G31" s="15"/>
      <c r="H31" s="56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</row>
    <row r="32" spans="1:20" ht="25.5" customHeight="1" x14ac:dyDescent="0.25">
      <c r="A32" s="59">
        <v>45102</v>
      </c>
      <c r="B32" s="15"/>
      <c r="C32" s="15"/>
      <c r="D32" s="15"/>
      <c r="E32" s="15"/>
      <c r="F32" s="15">
        <f t="shared" si="0"/>
        <v>0</v>
      </c>
      <c r="G32" s="15"/>
      <c r="H32" s="56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</row>
    <row r="33" spans="1:20" ht="25.5" customHeight="1" x14ac:dyDescent="0.25">
      <c r="A33" s="59">
        <v>45102</v>
      </c>
      <c r="B33" s="15"/>
      <c r="C33" s="15"/>
      <c r="D33" s="15"/>
      <c r="E33" s="15"/>
      <c r="F33" s="15">
        <f t="shared" si="0"/>
        <v>0</v>
      </c>
      <c r="G33" s="15"/>
      <c r="H33" s="56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</row>
    <row r="34" spans="1:20" ht="25.5" customHeight="1" x14ac:dyDescent="0.25">
      <c r="A34" s="59">
        <v>45102</v>
      </c>
      <c r="B34" s="15"/>
      <c r="C34" s="15"/>
      <c r="D34" s="15"/>
      <c r="E34" s="15"/>
      <c r="F34" s="15">
        <f t="shared" si="0"/>
        <v>0</v>
      </c>
      <c r="G34" s="15"/>
      <c r="H34" s="56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</row>
    <row r="35" spans="1:20" ht="25.5" customHeight="1" x14ac:dyDescent="0.25">
      <c r="A35" s="59">
        <v>45102</v>
      </c>
      <c r="B35" s="15"/>
      <c r="C35" s="15"/>
      <c r="D35" s="15"/>
      <c r="E35" s="15"/>
      <c r="F35" s="15">
        <f t="shared" si="0"/>
        <v>0</v>
      </c>
      <c r="G35" s="15"/>
      <c r="H35" s="56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</row>
    <row r="36" spans="1:20" ht="25.5" customHeight="1" x14ac:dyDescent="0.25">
      <c r="A36" s="59">
        <v>45102</v>
      </c>
      <c r="B36" s="15"/>
      <c r="C36" s="15"/>
      <c r="D36" s="15"/>
      <c r="E36" s="15"/>
      <c r="F36" s="15">
        <f t="shared" si="0"/>
        <v>0</v>
      </c>
      <c r="G36" s="15"/>
      <c r="H36" s="56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</row>
    <row r="37" spans="1:20" ht="25.5" customHeight="1" x14ac:dyDescent="0.25">
      <c r="A37" s="59">
        <v>45102</v>
      </c>
      <c r="B37" s="15"/>
      <c r="C37" s="15"/>
      <c r="D37" s="15"/>
      <c r="E37" s="15"/>
      <c r="F37" s="15">
        <f t="shared" si="0"/>
        <v>0</v>
      </c>
      <c r="G37" s="15"/>
      <c r="H37" s="56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</row>
    <row r="38" spans="1:20" ht="25.5" customHeight="1" x14ac:dyDescent="0.25">
      <c r="A38" s="59">
        <v>45102</v>
      </c>
      <c r="B38" s="15"/>
      <c r="C38" s="15"/>
      <c r="D38" s="15"/>
      <c r="E38" s="15"/>
      <c r="F38" s="15">
        <f t="shared" si="0"/>
        <v>0</v>
      </c>
      <c r="G38" s="15"/>
      <c r="H38" s="56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</row>
    <row r="39" spans="1:20" ht="41.25" customHeight="1" x14ac:dyDescent="0.25">
      <c r="A39" s="161" t="s">
        <v>6</v>
      </c>
      <c r="B39" s="161"/>
      <c r="C39" s="161"/>
      <c r="D39" s="15">
        <f>SUM(D4:D38)</f>
        <v>6540</v>
      </c>
      <c r="E39" s="55"/>
      <c r="F39" s="15">
        <f>SUM(F4:F38)</f>
        <v>3330</v>
      </c>
      <c r="G39" s="15">
        <f t="shared" ref="G39:T39" si="1">SUM(G4:G38)</f>
        <v>2310</v>
      </c>
      <c r="H39" s="56">
        <f t="shared" si="1"/>
        <v>60</v>
      </c>
      <c r="I39" s="15">
        <f t="shared" si="1"/>
        <v>0</v>
      </c>
      <c r="J39" s="15">
        <f t="shared" si="1"/>
        <v>0</v>
      </c>
      <c r="K39" s="15">
        <f t="shared" si="1"/>
        <v>0</v>
      </c>
      <c r="L39" s="15">
        <f t="shared" si="1"/>
        <v>135</v>
      </c>
      <c r="M39" s="15">
        <f t="shared" si="1"/>
        <v>0</v>
      </c>
      <c r="N39" s="15">
        <f t="shared" si="1"/>
        <v>0</v>
      </c>
      <c r="O39" s="15">
        <f t="shared" si="1"/>
        <v>0</v>
      </c>
      <c r="P39" s="15">
        <f t="shared" si="1"/>
        <v>20</v>
      </c>
      <c r="Q39" s="15">
        <f t="shared" si="1"/>
        <v>0</v>
      </c>
      <c r="R39" s="15">
        <f t="shared" si="1"/>
        <v>250</v>
      </c>
      <c r="S39" s="15">
        <f t="shared" si="1"/>
        <v>0</v>
      </c>
      <c r="T39" s="15">
        <f t="shared" si="1"/>
        <v>555</v>
      </c>
    </row>
    <row r="40" spans="1:20" ht="15.75" thickBot="1" x14ac:dyDescent="0.3"/>
    <row r="41" spans="1:20" ht="30.75" customHeight="1" thickTop="1" thickBot="1" x14ac:dyDescent="0.3">
      <c r="E41" s="2" t="s">
        <v>26</v>
      </c>
      <c r="F41" s="3" t="s">
        <v>27</v>
      </c>
      <c r="G41" s="4" t="s">
        <v>28</v>
      </c>
    </row>
    <row r="42" spans="1:20" ht="48.75" customHeight="1" thickTop="1" x14ac:dyDescent="0.25">
      <c r="A42" s="2" t="s">
        <v>19</v>
      </c>
      <c r="B42" s="6">
        <f>+D39</f>
        <v>6540</v>
      </c>
      <c r="C42" s="7"/>
      <c r="E42" s="5">
        <v>200</v>
      </c>
      <c r="F42" s="6">
        <v>3</v>
      </c>
      <c r="G42" s="7">
        <f>+E42*F42</f>
        <v>600</v>
      </c>
    </row>
    <row r="43" spans="1:20" ht="46.5" customHeight="1" x14ac:dyDescent="0.25">
      <c r="A43" s="9" t="s">
        <v>20</v>
      </c>
      <c r="B43" s="6">
        <f>D8</f>
        <v>2500</v>
      </c>
      <c r="C43" s="7"/>
      <c r="E43" s="5">
        <v>100</v>
      </c>
      <c r="F43" s="6">
        <v>1</v>
      </c>
      <c r="G43" s="7">
        <f t="shared" ref="G43:G45" si="2">+E43*F43</f>
        <v>100</v>
      </c>
    </row>
    <row r="44" spans="1:20" ht="46.5" customHeight="1" x14ac:dyDescent="0.25">
      <c r="A44" s="9" t="s">
        <v>21</v>
      </c>
      <c r="B44" s="6">
        <f>F39</f>
        <v>3330</v>
      </c>
      <c r="C44" s="7"/>
      <c r="E44" s="5">
        <v>50</v>
      </c>
      <c r="F44" s="6"/>
      <c r="G44" s="7">
        <f t="shared" si="2"/>
        <v>0</v>
      </c>
    </row>
    <row r="45" spans="1:20" ht="51.75" customHeight="1" x14ac:dyDescent="0.25">
      <c r="A45" s="9" t="s">
        <v>22</v>
      </c>
      <c r="B45" s="11">
        <f>+B42-B43-B44</f>
        <v>710</v>
      </c>
      <c r="C45" s="12"/>
      <c r="E45" s="5">
        <v>20</v>
      </c>
      <c r="F45" s="6"/>
      <c r="G45" s="7">
        <f t="shared" si="2"/>
        <v>0</v>
      </c>
    </row>
    <row r="46" spans="1:20" ht="46.5" customHeight="1" x14ac:dyDescent="0.25">
      <c r="A46" s="9" t="s">
        <v>23</v>
      </c>
      <c r="B46" s="11">
        <f>G49</f>
        <v>710</v>
      </c>
      <c r="C46" s="12"/>
      <c r="D46" s="1"/>
      <c r="E46" s="5">
        <v>10</v>
      </c>
      <c r="F46" s="6">
        <v>1</v>
      </c>
      <c r="G46" s="7">
        <f>+E46*F46</f>
        <v>10</v>
      </c>
    </row>
    <row r="47" spans="1:20" ht="34.5" customHeight="1" x14ac:dyDescent="0.25">
      <c r="A47" s="9" t="s">
        <v>24</v>
      </c>
      <c r="B47" s="11">
        <f>IF(B45&lt;B46,B46-B45,0)</f>
        <v>0</v>
      </c>
      <c r="C47" s="12"/>
      <c r="E47" s="5">
        <v>5</v>
      </c>
      <c r="F47" s="6"/>
      <c r="G47" s="7">
        <f>+E47*F47</f>
        <v>0</v>
      </c>
    </row>
    <row r="48" spans="1:20" ht="36.75" customHeight="1" x14ac:dyDescent="0.25">
      <c r="A48" s="9" t="s">
        <v>7</v>
      </c>
      <c r="B48" s="11">
        <f>IF(B45&gt;B46,B45-B46,0)</f>
        <v>0</v>
      </c>
      <c r="C48" s="12"/>
      <c r="E48" s="5">
        <v>1</v>
      </c>
      <c r="F48" s="6"/>
      <c r="G48" s="7">
        <f>+E48*F48</f>
        <v>0</v>
      </c>
    </row>
    <row r="49" spans="1:7" ht="30" customHeight="1" thickBot="1" x14ac:dyDescent="0.35">
      <c r="A49" s="10" t="s">
        <v>29</v>
      </c>
      <c r="B49" s="13" t="b">
        <f>B45=B46</f>
        <v>1</v>
      </c>
      <c r="C49" s="14"/>
      <c r="E49" s="159" t="s">
        <v>25</v>
      </c>
      <c r="F49" s="160"/>
      <c r="G49" s="8">
        <f>SUM(G42:G48)</f>
        <v>710</v>
      </c>
    </row>
    <row r="50" spans="1:7" ht="15.75" thickTop="1" x14ac:dyDescent="0.25"/>
  </sheetData>
  <mergeCells count="3">
    <mergeCell ref="E49:F49"/>
    <mergeCell ref="E2:L2"/>
    <mergeCell ref="A39:C39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6" orientation="landscape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0"/>
  <sheetViews>
    <sheetView rightToLeft="1" topLeftCell="A39" zoomScale="78" zoomScaleNormal="78" workbookViewId="0">
      <selection activeCell="J41" sqref="J41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4.14062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6" bestFit="1" customWidth="1"/>
    <col min="16" max="16" width="15.7109375" bestFit="1" customWidth="1"/>
    <col min="18" max="18" width="15.85546875" bestFit="1" customWidth="1"/>
    <col min="19" max="19" width="14" customWidth="1"/>
    <col min="20" max="20" width="10.140625" customWidth="1"/>
  </cols>
  <sheetData>
    <row r="1" spans="1:20" ht="15.75" hidden="1" thickBot="1" x14ac:dyDescent="0.3"/>
    <row r="2" spans="1:20" ht="25.5" customHeight="1" thickBot="1" x14ac:dyDescent="0.3">
      <c r="A2" s="50" t="s">
        <v>0</v>
      </c>
      <c r="B2" s="51"/>
      <c r="C2" s="51"/>
      <c r="D2" s="52"/>
      <c r="E2" s="157">
        <f ca="1">TODAY()</f>
        <v>45118</v>
      </c>
      <c r="F2" s="158"/>
      <c r="G2" s="158"/>
      <c r="H2" s="158"/>
      <c r="I2" s="158"/>
      <c r="J2" s="158"/>
      <c r="K2" s="158"/>
      <c r="L2" s="158"/>
      <c r="M2" s="53"/>
      <c r="N2" s="53"/>
      <c r="O2" s="53"/>
      <c r="P2" s="53"/>
      <c r="Q2" s="53"/>
      <c r="R2" s="53"/>
      <c r="S2" s="53"/>
      <c r="T2" s="53"/>
    </row>
    <row r="3" spans="1:20" ht="36.75" customHeight="1" x14ac:dyDescent="0.25">
      <c r="A3" s="54" t="s">
        <v>4</v>
      </c>
      <c r="B3" s="54" t="s">
        <v>3</v>
      </c>
      <c r="C3" s="54" t="s">
        <v>1</v>
      </c>
      <c r="D3" s="54" t="s">
        <v>2</v>
      </c>
      <c r="E3" s="54" t="s">
        <v>1</v>
      </c>
      <c r="F3" s="54" t="s">
        <v>13</v>
      </c>
      <c r="G3" s="54" t="s">
        <v>5</v>
      </c>
      <c r="H3" s="57" t="s">
        <v>8</v>
      </c>
      <c r="I3" s="18" t="s">
        <v>9</v>
      </c>
      <c r="J3" s="18" t="s">
        <v>10</v>
      </c>
      <c r="K3" s="18" t="s">
        <v>11</v>
      </c>
      <c r="L3" s="18" t="s">
        <v>12</v>
      </c>
      <c r="M3" s="18" t="s">
        <v>31</v>
      </c>
      <c r="N3" s="18" t="s">
        <v>45</v>
      </c>
      <c r="O3" s="18" t="s">
        <v>32</v>
      </c>
      <c r="P3" s="18" t="s">
        <v>34</v>
      </c>
      <c r="Q3" s="18" t="s">
        <v>35</v>
      </c>
      <c r="R3" s="18" t="s">
        <v>39</v>
      </c>
      <c r="S3" s="18" t="s">
        <v>38</v>
      </c>
      <c r="T3" s="19" t="s">
        <v>40</v>
      </c>
    </row>
    <row r="4" spans="1:20" ht="25.5" customHeight="1" x14ac:dyDescent="0.25">
      <c r="A4" s="59">
        <v>45103</v>
      </c>
      <c r="B4" s="15"/>
      <c r="C4" s="15" t="s">
        <v>14</v>
      </c>
      <c r="D4" s="15">
        <v>734</v>
      </c>
      <c r="E4" s="15" t="s">
        <v>290</v>
      </c>
      <c r="F4" s="15">
        <f>SUM(G4:T4)</f>
        <v>55</v>
      </c>
      <c r="G4" s="15"/>
      <c r="H4" s="56">
        <v>55</v>
      </c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</row>
    <row r="5" spans="1:20" ht="25.5" customHeight="1" x14ac:dyDescent="0.25">
      <c r="A5" s="59">
        <v>45103</v>
      </c>
      <c r="B5" s="15"/>
      <c r="C5" s="15" t="s">
        <v>15</v>
      </c>
      <c r="D5" s="15">
        <v>3691</v>
      </c>
      <c r="E5" s="15" t="s">
        <v>12</v>
      </c>
      <c r="F5" s="15">
        <f t="shared" ref="F5:F38" si="0">SUM(G5:T5)</f>
        <v>270</v>
      </c>
      <c r="G5" s="15"/>
      <c r="H5" s="56"/>
      <c r="I5" s="15"/>
      <c r="J5" s="15"/>
      <c r="K5" s="15"/>
      <c r="L5" s="15">
        <f>90+45+45+90</f>
        <v>270</v>
      </c>
      <c r="M5" s="15"/>
      <c r="N5" s="15"/>
      <c r="O5" s="15"/>
      <c r="P5" s="15"/>
      <c r="Q5" s="15"/>
      <c r="R5" s="15"/>
      <c r="S5" s="15"/>
      <c r="T5" s="15"/>
    </row>
    <row r="6" spans="1:20" ht="25.5" customHeight="1" x14ac:dyDescent="0.25">
      <c r="A6" s="59">
        <v>45103</v>
      </c>
      <c r="B6" s="15"/>
      <c r="C6" s="15" t="s">
        <v>16</v>
      </c>
      <c r="D6" s="15">
        <v>0</v>
      </c>
      <c r="E6" s="15" t="s">
        <v>291</v>
      </c>
      <c r="F6" s="15">
        <f t="shared" si="0"/>
        <v>160</v>
      </c>
      <c r="G6" s="15"/>
      <c r="H6" s="56"/>
      <c r="I6" s="15"/>
      <c r="J6" s="15"/>
      <c r="K6" s="15"/>
      <c r="L6" s="15"/>
      <c r="M6" s="15"/>
      <c r="N6" s="15">
        <v>160</v>
      </c>
      <c r="O6" s="15"/>
      <c r="P6" s="15"/>
      <c r="Q6" s="15"/>
      <c r="R6" s="15"/>
      <c r="S6" s="15"/>
      <c r="T6" s="15"/>
    </row>
    <row r="7" spans="1:20" ht="25.5" customHeight="1" x14ac:dyDescent="0.25">
      <c r="A7" s="59">
        <v>45103</v>
      </c>
      <c r="B7" s="15"/>
      <c r="C7" s="15" t="s">
        <v>17</v>
      </c>
      <c r="D7" s="15">
        <v>62</v>
      </c>
      <c r="E7" s="15" t="s">
        <v>292</v>
      </c>
      <c r="F7" s="15">
        <f t="shared" si="0"/>
        <v>105</v>
      </c>
      <c r="G7" s="15"/>
      <c r="H7" s="56"/>
      <c r="I7" s="15"/>
      <c r="J7" s="15"/>
      <c r="K7" s="15"/>
      <c r="L7" s="15"/>
      <c r="M7" s="15"/>
      <c r="N7" s="15">
        <v>105</v>
      </c>
      <c r="O7" s="15"/>
      <c r="P7" s="15"/>
      <c r="Q7" s="15"/>
      <c r="R7" s="15"/>
      <c r="S7" s="15"/>
      <c r="T7" s="15"/>
    </row>
    <row r="8" spans="1:20" ht="25.5" customHeight="1" x14ac:dyDescent="0.25">
      <c r="A8" s="59">
        <v>45103</v>
      </c>
      <c r="B8" s="15"/>
      <c r="C8" s="15" t="s">
        <v>18</v>
      </c>
      <c r="D8" s="15">
        <f>2000+60+840+105</f>
        <v>3005</v>
      </c>
      <c r="E8" s="15" t="s">
        <v>293</v>
      </c>
      <c r="F8" s="15">
        <f t="shared" si="0"/>
        <v>30</v>
      </c>
      <c r="G8" s="15"/>
      <c r="H8" s="56"/>
      <c r="I8" s="15"/>
      <c r="J8" s="15"/>
      <c r="K8" s="15"/>
      <c r="L8" s="15"/>
      <c r="M8" s="15">
        <v>30</v>
      </c>
      <c r="N8" s="15"/>
      <c r="O8" s="15"/>
      <c r="P8" s="15"/>
      <c r="Q8" s="15"/>
      <c r="R8" s="15"/>
      <c r="S8" s="15"/>
      <c r="T8" s="15"/>
    </row>
    <row r="9" spans="1:20" ht="25.5" customHeight="1" x14ac:dyDescent="0.25">
      <c r="A9" s="59">
        <v>45103</v>
      </c>
      <c r="B9" s="15"/>
      <c r="C9" s="15" t="s">
        <v>30</v>
      </c>
      <c r="D9" s="15">
        <v>0</v>
      </c>
      <c r="E9" s="15" t="s">
        <v>294</v>
      </c>
      <c r="F9" s="15">
        <f t="shared" si="0"/>
        <v>10</v>
      </c>
      <c r="G9" s="15"/>
      <c r="H9" s="56"/>
      <c r="I9" s="15"/>
      <c r="J9" s="15"/>
      <c r="K9" s="15"/>
      <c r="L9" s="15"/>
      <c r="M9" s="15"/>
      <c r="N9" s="15"/>
      <c r="O9" s="15"/>
      <c r="P9" s="15">
        <v>10</v>
      </c>
      <c r="Q9" s="15"/>
      <c r="R9" s="15"/>
      <c r="S9" s="15"/>
      <c r="T9" s="15"/>
    </row>
    <row r="10" spans="1:20" ht="25.5" customHeight="1" x14ac:dyDescent="0.25">
      <c r="A10" s="59">
        <v>45103</v>
      </c>
      <c r="B10" s="15"/>
      <c r="C10" s="15" t="s">
        <v>46</v>
      </c>
      <c r="D10" s="15">
        <v>0</v>
      </c>
      <c r="E10" s="15" t="s">
        <v>114</v>
      </c>
      <c r="F10" s="15">
        <f t="shared" si="0"/>
        <v>10</v>
      </c>
      <c r="G10" s="15"/>
      <c r="H10" s="56"/>
      <c r="I10" s="15"/>
      <c r="J10" s="15"/>
      <c r="K10" s="15"/>
      <c r="L10" s="15"/>
      <c r="M10" s="15"/>
      <c r="N10" s="15"/>
      <c r="O10" s="15"/>
      <c r="P10" s="15">
        <v>10</v>
      </c>
      <c r="Q10" s="15"/>
      <c r="R10" s="15"/>
      <c r="S10" s="15"/>
      <c r="T10" s="15"/>
    </row>
    <row r="11" spans="1:20" ht="25.5" customHeight="1" x14ac:dyDescent="0.25">
      <c r="A11" s="59">
        <v>45103</v>
      </c>
      <c r="B11" s="15"/>
      <c r="C11" s="15"/>
      <c r="D11" s="15"/>
      <c r="E11" s="15" t="s">
        <v>112</v>
      </c>
      <c r="F11" s="15">
        <f t="shared" si="0"/>
        <v>200</v>
      </c>
      <c r="G11" s="15"/>
      <c r="H11" s="56"/>
      <c r="I11" s="15"/>
      <c r="J11" s="15"/>
      <c r="K11" s="15"/>
      <c r="L11" s="15"/>
      <c r="M11" s="15"/>
      <c r="N11" s="15"/>
      <c r="O11" s="15"/>
      <c r="P11" s="15"/>
      <c r="Q11" s="15"/>
      <c r="R11" s="15">
        <v>200</v>
      </c>
      <c r="S11" s="15"/>
      <c r="T11" s="15"/>
    </row>
    <row r="12" spans="1:20" ht="25.5" customHeight="1" x14ac:dyDescent="0.25">
      <c r="A12" s="59">
        <v>45103</v>
      </c>
      <c r="B12" s="15"/>
      <c r="C12" s="15"/>
      <c r="D12" s="15"/>
      <c r="E12" s="15" t="s">
        <v>295</v>
      </c>
      <c r="F12" s="15">
        <f t="shared" si="0"/>
        <v>10</v>
      </c>
      <c r="G12" s="15"/>
      <c r="H12" s="56"/>
      <c r="I12" s="15"/>
      <c r="J12" s="15"/>
      <c r="K12" s="15"/>
      <c r="L12" s="15"/>
      <c r="M12" s="15"/>
      <c r="N12" s="15"/>
      <c r="O12" s="15"/>
      <c r="P12" s="15">
        <v>10</v>
      </c>
      <c r="Q12" s="15"/>
      <c r="R12" s="15"/>
      <c r="S12" s="15"/>
      <c r="T12" s="15"/>
    </row>
    <row r="13" spans="1:20" ht="25.5" customHeight="1" x14ac:dyDescent="0.25">
      <c r="A13" s="59">
        <v>45103</v>
      </c>
      <c r="B13" s="15"/>
      <c r="C13" s="15"/>
      <c r="D13" s="15"/>
      <c r="E13" s="15" t="s">
        <v>296</v>
      </c>
      <c r="F13" s="15">
        <f t="shared" si="0"/>
        <v>50</v>
      </c>
      <c r="G13" s="15"/>
      <c r="H13" s="56"/>
      <c r="I13" s="15"/>
      <c r="J13" s="15"/>
      <c r="K13" s="15"/>
      <c r="L13" s="15"/>
      <c r="M13" s="15"/>
      <c r="N13" s="15"/>
      <c r="O13" s="15"/>
      <c r="P13" s="15">
        <v>50</v>
      </c>
      <c r="Q13" s="15"/>
      <c r="R13" s="15"/>
      <c r="S13" s="15"/>
      <c r="T13" s="15"/>
    </row>
    <row r="14" spans="1:20" ht="25.5" customHeight="1" x14ac:dyDescent="0.25">
      <c r="A14" s="59">
        <v>45103</v>
      </c>
      <c r="B14" s="15"/>
      <c r="C14" s="15"/>
      <c r="D14" s="15"/>
      <c r="E14" s="15" t="s">
        <v>248</v>
      </c>
      <c r="F14" s="15">
        <f t="shared" si="0"/>
        <v>575</v>
      </c>
      <c r="G14" s="15"/>
      <c r="H14" s="56"/>
      <c r="I14" s="15"/>
      <c r="J14" s="15"/>
      <c r="K14" s="15"/>
      <c r="L14" s="15"/>
      <c r="M14" s="15"/>
      <c r="N14" s="15"/>
      <c r="O14" s="15"/>
      <c r="P14" s="15">
        <v>20</v>
      </c>
      <c r="Q14" s="15"/>
      <c r="R14" s="15"/>
      <c r="S14" s="15"/>
      <c r="T14" s="15">
        <v>555</v>
      </c>
    </row>
    <row r="15" spans="1:20" ht="25.5" customHeight="1" x14ac:dyDescent="0.25">
      <c r="A15" s="59">
        <v>45103</v>
      </c>
      <c r="B15" s="15"/>
      <c r="C15" s="15"/>
      <c r="D15" s="15"/>
      <c r="E15" s="91" t="s">
        <v>139</v>
      </c>
      <c r="F15" s="15">
        <f t="shared" si="0"/>
        <v>0</v>
      </c>
      <c r="G15" s="15"/>
      <c r="H15" s="56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ht="25.5" customHeight="1" x14ac:dyDescent="0.25">
      <c r="A16" s="59">
        <v>45103</v>
      </c>
      <c r="B16" s="15"/>
      <c r="C16" s="15"/>
      <c r="D16" s="15"/>
      <c r="E16" s="15" t="s">
        <v>75</v>
      </c>
      <c r="F16" s="15">
        <f t="shared" si="0"/>
        <v>150</v>
      </c>
      <c r="G16" s="15">
        <v>150</v>
      </c>
      <c r="H16" s="56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</row>
    <row r="17" spans="1:20" ht="25.5" customHeight="1" x14ac:dyDescent="0.25">
      <c r="A17" s="59">
        <v>45103</v>
      </c>
      <c r="B17" s="15"/>
      <c r="C17" s="15"/>
      <c r="D17" s="15"/>
      <c r="E17" s="15" t="s">
        <v>73</v>
      </c>
      <c r="F17" s="15">
        <f t="shared" si="0"/>
        <v>170</v>
      </c>
      <c r="G17" s="15">
        <v>170</v>
      </c>
      <c r="H17" s="56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</row>
    <row r="18" spans="1:20" ht="25.5" customHeight="1" x14ac:dyDescent="0.25">
      <c r="A18" s="59">
        <v>45103</v>
      </c>
      <c r="B18" s="15"/>
      <c r="C18" s="15"/>
      <c r="D18" s="15"/>
      <c r="E18" s="15" t="s">
        <v>74</v>
      </c>
      <c r="F18" s="15">
        <f t="shared" si="0"/>
        <v>160</v>
      </c>
      <c r="G18" s="15">
        <v>160</v>
      </c>
      <c r="H18" s="56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ht="25.5" customHeight="1" x14ac:dyDescent="0.25">
      <c r="A19" s="59">
        <v>45103</v>
      </c>
      <c r="B19" s="15"/>
      <c r="C19" s="15"/>
      <c r="D19" s="15"/>
      <c r="E19" s="15" t="s">
        <v>100</v>
      </c>
      <c r="F19" s="15">
        <f t="shared" si="0"/>
        <v>150</v>
      </c>
      <c r="G19" s="15">
        <v>150</v>
      </c>
      <c r="H19" s="56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ht="25.5" customHeight="1" x14ac:dyDescent="0.25">
      <c r="A20" s="59">
        <v>45103</v>
      </c>
      <c r="B20" s="15"/>
      <c r="C20" s="15"/>
      <c r="D20" s="15"/>
      <c r="E20" s="15" t="s">
        <v>86</v>
      </c>
      <c r="F20" s="15">
        <f t="shared" si="0"/>
        <v>120</v>
      </c>
      <c r="G20" s="15">
        <v>120</v>
      </c>
      <c r="H20" s="56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ht="25.5" customHeight="1" x14ac:dyDescent="0.25">
      <c r="A21" s="59">
        <v>45103</v>
      </c>
      <c r="B21" s="15"/>
      <c r="C21" s="15"/>
      <c r="D21" s="15"/>
      <c r="E21" s="15" t="s">
        <v>127</v>
      </c>
      <c r="F21" s="15">
        <f t="shared" si="0"/>
        <v>200</v>
      </c>
      <c r="G21" s="15">
        <v>200</v>
      </c>
      <c r="H21" s="56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25.5" customHeight="1" x14ac:dyDescent="0.25">
      <c r="A22" s="59">
        <v>45103</v>
      </c>
      <c r="B22" s="15"/>
      <c r="C22" s="15"/>
      <c r="D22" s="15"/>
      <c r="E22" s="15" t="s">
        <v>101</v>
      </c>
      <c r="F22" s="15">
        <f t="shared" si="0"/>
        <v>30</v>
      </c>
      <c r="G22" s="15">
        <v>30</v>
      </c>
      <c r="H22" s="56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</row>
    <row r="23" spans="1:20" ht="25.5" customHeight="1" x14ac:dyDescent="0.25">
      <c r="A23" s="59">
        <v>45103</v>
      </c>
      <c r="B23" s="15"/>
      <c r="C23" s="15"/>
      <c r="D23" s="15"/>
      <c r="E23" s="15" t="s">
        <v>97</v>
      </c>
      <c r="F23" s="15">
        <f t="shared" si="0"/>
        <v>50</v>
      </c>
      <c r="G23" s="15">
        <v>50</v>
      </c>
      <c r="H23" s="56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</row>
    <row r="24" spans="1:20" ht="25.5" customHeight="1" x14ac:dyDescent="0.25">
      <c r="A24" s="59">
        <v>45103</v>
      </c>
      <c r="B24" s="15"/>
      <c r="C24" s="15"/>
      <c r="D24" s="15"/>
      <c r="E24" s="15" t="s">
        <v>254</v>
      </c>
      <c r="F24" s="15">
        <f t="shared" si="0"/>
        <v>100</v>
      </c>
      <c r="G24" s="15">
        <v>100</v>
      </c>
      <c r="H24" s="56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</row>
    <row r="25" spans="1:20" ht="25.5" customHeight="1" x14ac:dyDescent="0.25">
      <c r="A25" s="59">
        <v>45103</v>
      </c>
      <c r="B25" s="15"/>
      <c r="C25" s="15"/>
      <c r="D25" s="15"/>
      <c r="E25" s="121" t="s">
        <v>312</v>
      </c>
      <c r="F25" s="121">
        <f t="shared" si="0"/>
        <v>310</v>
      </c>
      <c r="G25" s="121">
        <v>310</v>
      </c>
      <c r="H25" s="56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</row>
    <row r="26" spans="1:20" ht="25.5" customHeight="1" x14ac:dyDescent="0.25">
      <c r="A26" s="59">
        <v>45103</v>
      </c>
      <c r="B26" s="15"/>
      <c r="C26" s="15"/>
      <c r="D26" s="15"/>
      <c r="E26" s="15" t="s">
        <v>79</v>
      </c>
      <c r="F26" s="15">
        <f t="shared" si="0"/>
        <v>50</v>
      </c>
      <c r="G26" s="15">
        <v>50</v>
      </c>
      <c r="H26" s="56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</row>
    <row r="27" spans="1:20" ht="25.5" customHeight="1" x14ac:dyDescent="0.25">
      <c r="A27" s="59">
        <v>45103</v>
      </c>
      <c r="B27" s="15"/>
      <c r="C27" s="15"/>
      <c r="D27" s="15"/>
      <c r="E27" s="15" t="s">
        <v>84</v>
      </c>
      <c r="F27" s="15">
        <f t="shared" si="0"/>
        <v>170</v>
      </c>
      <c r="G27" s="15">
        <v>170</v>
      </c>
      <c r="H27" s="56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</row>
    <row r="28" spans="1:20" ht="25.5" customHeight="1" x14ac:dyDescent="0.25">
      <c r="A28" s="59">
        <v>45103</v>
      </c>
      <c r="B28" s="15"/>
      <c r="C28" s="15"/>
      <c r="D28" s="15"/>
      <c r="E28" s="15" t="s">
        <v>94</v>
      </c>
      <c r="F28" s="15">
        <f t="shared" si="0"/>
        <v>100</v>
      </c>
      <c r="G28" s="15">
        <v>100</v>
      </c>
      <c r="H28" s="56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</row>
    <row r="29" spans="1:20" ht="25.5" customHeight="1" x14ac:dyDescent="0.25">
      <c r="A29" s="59">
        <v>45103</v>
      </c>
      <c r="B29" s="15"/>
      <c r="C29" s="15"/>
      <c r="D29" s="15"/>
      <c r="E29" s="121" t="s">
        <v>304</v>
      </c>
      <c r="F29" s="121">
        <f t="shared" si="0"/>
        <v>120</v>
      </c>
      <c r="G29" s="121">
        <v>120</v>
      </c>
      <c r="H29" s="56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</row>
    <row r="30" spans="1:20" ht="25.5" customHeight="1" x14ac:dyDescent="0.25">
      <c r="A30" s="59">
        <v>45103</v>
      </c>
      <c r="B30" s="15"/>
      <c r="C30" s="15"/>
      <c r="D30" s="15"/>
      <c r="E30" s="121" t="s">
        <v>305</v>
      </c>
      <c r="F30" s="121">
        <f t="shared" si="0"/>
        <v>100</v>
      </c>
      <c r="G30" s="121">
        <v>100</v>
      </c>
      <c r="H30" s="56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</row>
    <row r="31" spans="1:20" ht="25.5" customHeight="1" x14ac:dyDescent="0.25">
      <c r="A31" s="59">
        <v>45103</v>
      </c>
      <c r="B31" s="15"/>
      <c r="C31" s="15"/>
      <c r="D31" s="15"/>
      <c r="E31" s="121" t="s">
        <v>306</v>
      </c>
      <c r="F31" s="121">
        <f t="shared" si="0"/>
        <v>100</v>
      </c>
      <c r="G31" s="121">
        <v>100</v>
      </c>
      <c r="H31" s="56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</row>
    <row r="32" spans="1:20" ht="25.5" customHeight="1" x14ac:dyDescent="0.25">
      <c r="A32" s="59">
        <v>45103</v>
      </c>
      <c r="B32" s="15"/>
      <c r="C32" s="15"/>
      <c r="D32" s="15"/>
      <c r="E32" s="121" t="s">
        <v>313</v>
      </c>
      <c r="F32" s="121">
        <f t="shared" si="0"/>
        <v>150</v>
      </c>
      <c r="G32" s="121">
        <v>150</v>
      </c>
      <c r="H32" s="56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</row>
    <row r="33" spans="1:20" ht="25.5" customHeight="1" x14ac:dyDescent="0.25">
      <c r="A33" s="59">
        <v>45103</v>
      </c>
      <c r="B33" s="15"/>
      <c r="C33" s="15"/>
      <c r="D33" s="15"/>
      <c r="E33" s="121" t="s">
        <v>307</v>
      </c>
      <c r="F33" s="121">
        <f t="shared" si="0"/>
        <v>100</v>
      </c>
      <c r="G33" s="121">
        <v>100</v>
      </c>
      <c r="H33" s="56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</row>
    <row r="34" spans="1:20" ht="25.5" customHeight="1" x14ac:dyDescent="0.25">
      <c r="A34" s="59">
        <v>45103</v>
      </c>
      <c r="B34" s="15"/>
      <c r="C34" s="15"/>
      <c r="D34" s="15"/>
      <c r="E34" s="121" t="s">
        <v>308</v>
      </c>
      <c r="F34" s="121">
        <f t="shared" si="0"/>
        <v>150</v>
      </c>
      <c r="G34" s="121">
        <v>150</v>
      </c>
      <c r="H34" s="56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</row>
    <row r="35" spans="1:20" ht="25.5" customHeight="1" x14ac:dyDescent="0.25">
      <c r="A35" s="59">
        <v>45103</v>
      </c>
      <c r="B35" s="15"/>
      <c r="C35" s="15"/>
      <c r="D35" s="15"/>
      <c r="E35" s="121" t="s">
        <v>309</v>
      </c>
      <c r="F35" s="121">
        <f t="shared" si="0"/>
        <v>150</v>
      </c>
      <c r="G35" s="121">
        <v>150</v>
      </c>
      <c r="H35" s="56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</row>
    <row r="36" spans="1:20" ht="25.5" customHeight="1" x14ac:dyDescent="0.25">
      <c r="A36" s="59">
        <v>45103</v>
      </c>
      <c r="B36" s="15"/>
      <c r="C36" s="15"/>
      <c r="D36" s="15"/>
      <c r="E36" s="121" t="s">
        <v>310</v>
      </c>
      <c r="F36" s="121">
        <f t="shared" si="0"/>
        <v>150</v>
      </c>
      <c r="G36" s="121">
        <v>150</v>
      </c>
      <c r="H36" s="56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</row>
    <row r="37" spans="1:20" ht="25.5" customHeight="1" x14ac:dyDescent="0.25">
      <c r="A37" s="59">
        <v>45103</v>
      </c>
      <c r="B37" s="15"/>
      <c r="C37" s="15"/>
      <c r="D37" s="15"/>
      <c r="E37" s="121" t="s">
        <v>311</v>
      </c>
      <c r="F37" s="121">
        <f t="shared" si="0"/>
        <v>150</v>
      </c>
      <c r="G37" s="121">
        <v>150</v>
      </c>
      <c r="H37" s="56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</row>
    <row r="38" spans="1:20" ht="25.5" customHeight="1" x14ac:dyDescent="0.25">
      <c r="A38" s="59">
        <v>45103</v>
      </c>
      <c r="B38" s="15"/>
      <c r="C38" s="15"/>
      <c r="D38" s="15"/>
      <c r="E38" s="121" t="s">
        <v>243</v>
      </c>
      <c r="F38" s="121">
        <f t="shared" si="0"/>
        <v>100</v>
      </c>
      <c r="G38" s="121">
        <v>100</v>
      </c>
      <c r="H38" s="56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</row>
    <row r="39" spans="1:20" ht="41.25" customHeight="1" x14ac:dyDescent="0.25">
      <c r="A39" s="161" t="s">
        <v>6</v>
      </c>
      <c r="B39" s="161"/>
      <c r="C39" s="161"/>
      <c r="D39" s="15">
        <f>SUM(D4:D38)</f>
        <v>7492</v>
      </c>
      <c r="E39" s="55"/>
      <c r="F39" s="15">
        <f>SUM(F4:F38)</f>
        <v>4505</v>
      </c>
      <c r="G39" s="15">
        <f t="shared" ref="G39:T39" si="1">SUM(G4:G38)</f>
        <v>3030</v>
      </c>
      <c r="H39" s="56">
        <f t="shared" si="1"/>
        <v>55</v>
      </c>
      <c r="I39" s="15">
        <f t="shared" si="1"/>
        <v>0</v>
      </c>
      <c r="J39" s="15">
        <f t="shared" si="1"/>
        <v>0</v>
      </c>
      <c r="K39" s="15">
        <f t="shared" si="1"/>
        <v>0</v>
      </c>
      <c r="L39" s="15">
        <f t="shared" si="1"/>
        <v>270</v>
      </c>
      <c r="M39" s="15">
        <f t="shared" si="1"/>
        <v>30</v>
      </c>
      <c r="N39" s="15">
        <f t="shared" si="1"/>
        <v>265</v>
      </c>
      <c r="O39" s="15">
        <f t="shared" si="1"/>
        <v>0</v>
      </c>
      <c r="P39" s="15">
        <f t="shared" si="1"/>
        <v>100</v>
      </c>
      <c r="Q39" s="15">
        <f t="shared" si="1"/>
        <v>0</v>
      </c>
      <c r="R39" s="15">
        <f t="shared" si="1"/>
        <v>200</v>
      </c>
      <c r="S39" s="15">
        <f t="shared" si="1"/>
        <v>0</v>
      </c>
      <c r="T39" s="15">
        <f t="shared" si="1"/>
        <v>555</v>
      </c>
    </row>
    <row r="40" spans="1:20" ht="15.75" thickBot="1" x14ac:dyDescent="0.3"/>
    <row r="41" spans="1:20" ht="30.75" customHeight="1" thickTop="1" thickBot="1" x14ac:dyDescent="0.3">
      <c r="E41" s="2" t="s">
        <v>26</v>
      </c>
      <c r="F41" s="3" t="s">
        <v>27</v>
      </c>
      <c r="G41" s="4" t="s">
        <v>28</v>
      </c>
    </row>
    <row r="42" spans="1:20" ht="48.75" customHeight="1" thickTop="1" x14ac:dyDescent="0.25">
      <c r="A42" s="2" t="s">
        <v>19</v>
      </c>
      <c r="B42" s="6">
        <f>+D39</f>
        <v>7492</v>
      </c>
      <c r="C42" s="7"/>
      <c r="E42" s="5">
        <v>200</v>
      </c>
      <c r="F42" s="6"/>
      <c r="G42" s="7">
        <f>+E42*F42</f>
        <v>0</v>
      </c>
    </row>
    <row r="43" spans="1:20" ht="46.5" customHeight="1" x14ac:dyDescent="0.25">
      <c r="A43" s="9" t="s">
        <v>20</v>
      </c>
      <c r="B43" s="6">
        <f>D8</f>
        <v>3005</v>
      </c>
      <c r="C43" s="7"/>
      <c r="E43" s="5">
        <v>100</v>
      </c>
      <c r="F43" s="6"/>
      <c r="G43" s="7">
        <f t="shared" ref="G43:G45" si="2">+E43*F43</f>
        <v>0</v>
      </c>
    </row>
    <row r="44" spans="1:20" ht="46.5" customHeight="1" x14ac:dyDescent="0.25">
      <c r="A44" s="9" t="s">
        <v>21</v>
      </c>
      <c r="B44" s="6">
        <f>F39</f>
        <v>4505</v>
      </c>
      <c r="C44" s="7"/>
      <c r="E44" s="5">
        <v>50</v>
      </c>
      <c r="F44" s="6"/>
      <c r="G44" s="7">
        <f t="shared" si="2"/>
        <v>0</v>
      </c>
    </row>
    <row r="45" spans="1:20" ht="51.75" customHeight="1" x14ac:dyDescent="0.25">
      <c r="A45" s="9" t="s">
        <v>22</v>
      </c>
      <c r="B45" s="11">
        <f>+B42-B43-B44</f>
        <v>-18</v>
      </c>
      <c r="C45" s="12"/>
      <c r="E45" s="5">
        <v>20</v>
      </c>
      <c r="F45" s="6"/>
      <c r="G45" s="7">
        <f t="shared" si="2"/>
        <v>0</v>
      </c>
    </row>
    <row r="46" spans="1:20" ht="46.5" customHeight="1" x14ac:dyDescent="0.25">
      <c r="A46" s="9" t="s">
        <v>23</v>
      </c>
      <c r="B46" s="11">
        <f>G49</f>
        <v>0</v>
      </c>
      <c r="C46" s="12"/>
      <c r="D46" s="1"/>
      <c r="E46" s="5">
        <v>10</v>
      </c>
      <c r="F46" s="6"/>
      <c r="G46" s="7">
        <f>+E46*F46</f>
        <v>0</v>
      </c>
    </row>
    <row r="47" spans="1:20" ht="34.5" customHeight="1" x14ac:dyDescent="0.25">
      <c r="A47" s="9" t="s">
        <v>24</v>
      </c>
      <c r="B47" s="11">
        <f>IF(B45&lt;B46,B46-B45,0)</f>
        <v>18</v>
      </c>
      <c r="C47" s="12"/>
      <c r="E47" s="5">
        <v>5</v>
      </c>
      <c r="F47" s="6"/>
      <c r="G47" s="7">
        <f>+E47*F47</f>
        <v>0</v>
      </c>
    </row>
    <row r="48" spans="1:20" ht="36.75" customHeight="1" x14ac:dyDescent="0.25">
      <c r="A48" s="9" t="s">
        <v>7</v>
      </c>
      <c r="B48" s="11">
        <f>IF(B45&gt;B46,B45-B46,0)</f>
        <v>0</v>
      </c>
      <c r="C48" s="12"/>
      <c r="E48" s="5">
        <v>1</v>
      </c>
      <c r="F48" s="6"/>
      <c r="G48" s="7">
        <f>+E48*F48</f>
        <v>0</v>
      </c>
    </row>
    <row r="49" spans="1:7" ht="30" customHeight="1" thickBot="1" x14ac:dyDescent="0.35">
      <c r="A49" s="10" t="s">
        <v>29</v>
      </c>
      <c r="B49" s="13" t="b">
        <f>B45=B46</f>
        <v>0</v>
      </c>
      <c r="C49" s="14"/>
      <c r="E49" s="159" t="s">
        <v>25</v>
      </c>
      <c r="F49" s="160"/>
      <c r="G49" s="8">
        <f>SUM(G42:G48)</f>
        <v>0</v>
      </c>
    </row>
    <row r="50" spans="1:7" ht="15.75" thickTop="1" x14ac:dyDescent="0.25"/>
  </sheetData>
  <mergeCells count="3">
    <mergeCell ref="E49:F49"/>
    <mergeCell ref="E2:L2"/>
    <mergeCell ref="A39:C39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0"/>
  <sheetViews>
    <sheetView rightToLeft="1" topLeftCell="A2" zoomScale="68" zoomScaleNormal="68" workbookViewId="0">
      <selection activeCell="E7" sqref="E7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4.14062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7.5703125" bestFit="1" customWidth="1"/>
    <col min="16" max="16" width="16.28515625" bestFit="1" customWidth="1"/>
    <col min="18" max="18" width="18.7109375" bestFit="1" customWidth="1"/>
    <col min="19" max="19" width="14" customWidth="1"/>
    <col min="20" max="20" width="10.140625" customWidth="1"/>
  </cols>
  <sheetData>
    <row r="1" spans="1:20" ht="15.75" hidden="1" thickBot="1" x14ac:dyDescent="0.3"/>
    <row r="2" spans="1:20" ht="25.5" customHeight="1" thickBot="1" x14ac:dyDescent="0.3">
      <c r="A2" s="50" t="s">
        <v>0</v>
      </c>
      <c r="B2" s="51"/>
      <c r="C2" s="51"/>
      <c r="D2" s="52"/>
      <c r="E2" s="157">
        <f ca="1">TODAY()</f>
        <v>45118</v>
      </c>
      <c r="F2" s="158"/>
      <c r="G2" s="158"/>
      <c r="H2" s="158"/>
      <c r="I2" s="158"/>
      <c r="J2" s="158"/>
      <c r="K2" s="158"/>
      <c r="L2" s="158"/>
      <c r="M2" s="53"/>
      <c r="N2" s="53"/>
      <c r="O2" s="53"/>
      <c r="P2" s="53"/>
      <c r="Q2" s="53"/>
      <c r="R2" s="53"/>
      <c r="S2" s="53"/>
      <c r="T2" s="53"/>
    </row>
    <row r="3" spans="1:20" ht="36.75" customHeight="1" x14ac:dyDescent="0.25">
      <c r="A3" s="54" t="s">
        <v>4</v>
      </c>
      <c r="B3" s="54" t="s">
        <v>3</v>
      </c>
      <c r="C3" s="54" t="s">
        <v>1</v>
      </c>
      <c r="D3" s="54" t="s">
        <v>2</v>
      </c>
      <c r="E3" s="54" t="s">
        <v>1</v>
      </c>
      <c r="F3" s="54" t="s">
        <v>13</v>
      </c>
      <c r="G3" s="54" t="s">
        <v>5</v>
      </c>
      <c r="H3" s="57" t="s">
        <v>8</v>
      </c>
      <c r="I3" s="18" t="s">
        <v>9</v>
      </c>
      <c r="J3" s="18" t="s">
        <v>10</v>
      </c>
      <c r="K3" s="18" t="s">
        <v>11</v>
      </c>
      <c r="L3" s="18" t="s">
        <v>12</v>
      </c>
      <c r="M3" s="18" t="s">
        <v>31</v>
      </c>
      <c r="N3" s="18" t="s">
        <v>45</v>
      </c>
      <c r="O3" s="18" t="s">
        <v>32</v>
      </c>
      <c r="P3" s="18" t="s">
        <v>34</v>
      </c>
      <c r="Q3" s="18" t="s">
        <v>35</v>
      </c>
      <c r="R3" s="18" t="s">
        <v>39</v>
      </c>
      <c r="S3" s="18" t="s">
        <v>38</v>
      </c>
      <c r="T3" s="19" t="s">
        <v>40</v>
      </c>
    </row>
    <row r="4" spans="1:20" ht="25.5" customHeight="1" x14ac:dyDescent="0.25">
      <c r="A4" s="59"/>
      <c r="B4" s="15"/>
      <c r="C4" s="15" t="s">
        <v>14</v>
      </c>
      <c r="D4" s="15"/>
      <c r="E4" s="15"/>
      <c r="F4" s="15">
        <f>SUM(G4:T4)</f>
        <v>0</v>
      </c>
      <c r="G4" s="15"/>
      <c r="H4" s="56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</row>
    <row r="5" spans="1:20" ht="25.5" customHeight="1" x14ac:dyDescent="0.25">
      <c r="A5" s="59"/>
      <c r="B5" s="15"/>
      <c r="C5" s="15" t="s">
        <v>15</v>
      </c>
      <c r="D5" s="15"/>
      <c r="E5" s="15"/>
      <c r="F5" s="15">
        <f t="shared" ref="F5:F38" si="0">SUM(G5:T5)</f>
        <v>0</v>
      </c>
      <c r="G5" s="15"/>
      <c r="H5" s="56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</row>
    <row r="6" spans="1:20" ht="25.5" customHeight="1" x14ac:dyDescent="0.25">
      <c r="A6" s="59"/>
      <c r="B6" s="15"/>
      <c r="C6" s="15" t="s">
        <v>16</v>
      </c>
      <c r="D6" s="15"/>
      <c r="E6" s="15"/>
      <c r="F6" s="15">
        <f t="shared" si="0"/>
        <v>0</v>
      </c>
      <c r="G6" s="15"/>
      <c r="H6" s="56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</row>
    <row r="7" spans="1:20" ht="25.5" customHeight="1" x14ac:dyDescent="0.25">
      <c r="A7" s="59"/>
      <c r="B7" s="15"/>
      <c r="C7" s="15" t="s">
        <v>17</v>
      </c>
      <c r="D7" s="15"/>
      <c r="E7" s="120" t="s">
        <v>299</v>
      </c>
      <c r="F7" s="15">
        <f t="shared" si="0"/>
        <v>0</v>
      </c>
      <c r="G7" s="15"/>
      <c r="H7" s="56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</row>
    <row r="8" spans="1:20" ht="25.5" customHeight="1" x14ac:dyDescent="0.25">
      <c r="A8" s="59"/>
      <c r="B8" s="15"/>
      <c r="C8" s="15" t="s">
        <v>18</v>
      </c>
      <c r="D8" s="15"/>
      <c r="E8" s="15"/>
      <c r="F8" s="15">
        <f t="shared" si="0"/>
        <v>0</v>
      </c>
      <c r="G8" s="15"/>
      <c r="H8" s="56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ht="25.5" customHeight="1" x14ac:dyDescent="0.25">
      <c r="A9" s="59"/>
      <c r="B9" s="15"/>
      <c r="C9" s="15" t="s">
        <v>30</v>
      </c>
      <c r="D9" s="15"/>
      <c r="E9" s="15"/>
      <c r="F9" s="15">
        <f t="shared" si="0"/>
        <v>0</v>
      </c>
      <c r="G9" s="15"/>
      <c r="H9" s="56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</row>
    <row r="10" spans="1:20" ht="25.5" customHeight="1" x14ac:dyDescent="0.25">
      <c r="A10" s="59"/>
      <c r="B10" s="15"/>
      <c r="C10" s="15" t="s">
        <v>46</v>
      </c>
      <c r="D10" s="15"/>
      <c r="E10" s="15"/>
      <c r="F10" s="15">
        <f t="shared" si="0"/>
        <v>0</v>
      </c>
      <c r="G10" s="15"/>
      <c r="H10" s="56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ht="25.5" customHeight="1" x14ac:dyDescent="0.25">
      <c r="A11" s="59"/>
      <c r="B11" s="15"/>
      <c r="C11" s="15"/>
      <c r="D11" s="15"/>
      <c r="E11" s="15"/>
      <c r="F11" s="15">
        <f t="shared" si="0"/>
        <v>0</v>
      </c>
      <c r="G11" s="15"/>
      <c r="H11" s="56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</row>
    <row r="12" spans="1:20" ht="25.5" customHeight="1" x14ac:dyDescent="0.25">
      <c r="A12" s="59"/>
      <c r="B12" s="15"/>
      <c r="C12" s="15"/>
      <c r="D12" s="15"/>
      <c r="E12" s="15"/>
      <c r="F12" s="15">
        <f t="shared" si="0"/>
        <v>0</v>
      </c>
      <c r="G12" s="15"/>
      <c r="H12" s="56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</row>
    <row r="13" spans="1:20" ht="25.5" customHeight="1" x14ac:dyDescent="0.25">
      <c r="A13" s="59"/>
      <c r="B13" s="15"/>
      <c r="C13" s="15"/>
      <c r="D13" s="15"/>
      <c r="E13" s="15"/>
      <c r="F13" s="15">
        <f t="shared" si="0"/>
        <v>0</v>
      </c>
      <c r="G13" s="15"/>
      <c r="H13" s="56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ht="25.5" customHeight="1" x14ac:dyDescent="0.25">
      <c r="A14" s="59"/>
      <c r="B14" s="15"/>
      <c r="C14" s="15"/>
      <c r="D14" s="15"/>
      <c r="E14" s="15"/>
      <c r="F14" s="15">
        <f t="shared" si="0"/>
        <v>0</v>
      </c>
      <c r="G14" s="15"/>
      <c r="H14" s="56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ht="25.5" customHeight="1" x14ac:dyDescent="0.25">
      <c r="A15" s="59"/>
      <c r="B15" s="15"/>
      <c r="C15" s="15"/>
      <c r="D15" s="15"/>
      <c r="E15" s="15"/>
      <c r="F15" s="15">
        <f t="shared" si="0"/>
        <v>0</v>
      </c>
      <c r="G15" s="15"/>
      <c r="H15" s="56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ht="25.5" customHeight="1" x14ac:dyDescent="0.25">
      <c r="A16" s="59"/>
      <c r="B16" s="15"/>
      <c r="C16" s="15"/>
      <c r="D16" s="15"/>
      <c r="E16" s="15"/>
      <c r="F16" s="15">
        <f t="shared" si="0"/>
        <v>0</v>
      </c>
      <c r="G16" s="15"/>
      <c r="H16" s="56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</row>
    <row r="17" spans="1:20" ht="25.5" customHeight="1" x14ac:dyDescent="0.25">
      <c r="A17" s="59"/>
      <c r="B17" s="15"/>
      <c r="C17" s="15"/>
      <c r="D17" s="15"/>
      <c r="E17" s="15"/>
      <c r="F17" s="15">
        <f t="shared" si="0"/>
        <v>0</v>
      </c>
      <c r="G17" s="15"/>
      <c r="H17" s="56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</row>
    <row r="18" spans="1:20" ht="25.5" customHeight="1" x14ac:dyDescent="0.25">
      <c r="A18" s="59"/>
      <c r="B18" s="15"/>
      <c r="C18" s="15"/>
      <c r="D18" s="15"/>
      <c r="E18" s="15"/>
      <c r="F18" s="15">
        <f t="shared" si="0"/>
        <v>0</v>
      </c>
      <c r="G18" s="15"/>
      <c r="H18" s="56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ht="25.5" customHeight="1" x14ac:dyDescent="0.25">
      <c r="A19" s="59"/>
      <c r="B19" s="15"/>
      <c r="C19" s="15"/>
      <c r="D19" s="15"/>
      <c r="E19" s="15"/>
      <c r="F19" s="15">
        <f t="shared" si="0"/>
        <v>0</v>
      </c>
      <c r="G19" s="15"/>
      <c r="H19" s="56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ht="25.5" customHeight="1" x14ac:dyDescent="0.25">
      <c r="A20" s="59"/>
      <c r="B20" s="15"/>
      <c r="C20" s="15"/>
      <c r="D20" s="15"/>
      <c r="E20" s="15"/>
      <c r="F20" s="15">
        <f t="shared" si="0"/>
        <v>0</v>
      </c>
      <c r="G20" s="15"/>
      <c r="H20" s="56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ht="25.5" customHeight="1" x14ac:dyDescent="0.25">
      <c r="A21" s="59"/>
      <c r="B21" s="15"/>
      <c r="C21" s="15"/>
      <c r="D21" s="15"/>
      <c r="E21" s="15"/>
      <c r="F21" s="15">
        <f t="shared" si="0"/>
        <v>0</v>
      </c>
      <c r="G21" s="15"/>
      <c r="H21" s="56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25.5" customHeight="1" x14ac:dyDescent="0.25">
      <c r="A22" s="59"/>
      <c r="B22" s="15"/>
      <c r="C22" s="15"/>
      <c r="D22" s="15"/>
      <c r="E22" s="15"/>
      <c r="F22" s="15">
        <f t="shared" si="0"/>
        <v>0</v>
      </c>
      <c r="G22" s="15"/>
      <c r="H22" s="56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</row>
    <row r="23" spans="1:20" ht="25.5" customHeight="1" x14ac:dyDescent="0.25">
      <c r="A23" s="59"/>
      <c r="B23" s="15"/>
      <c r="C23" s="15"/>
      <c r="D23" s="15"/>
      <c r="E23" s="15"/>
      <c r="F23" s="15">
        <f t="shared" si="0"/>
        <v>0</v>
      </c>
      <c r="G23" s="15"/>
      <c r="H23" s="56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</row>
    <row r="24" spans="1:20" ht="25.5" customHeight="1" x14ac:dyDescent="0.25">
      <c r="A24" s="59"/>
      <c r="B24" s="15"/>
      <c r="C24" s="15"/>
      <c r="D24" s="15"/>
      <c r="E24" s="15"/>
      <c r="F24" s="15">
        <f t="shared" si="0"/>
        <v>0</v>
      </c>
      <c r="G24" s="15"/>
      <c r="H24" s="56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</row>
    <row r="25" spans="1:20" ht="25.5" customHeight="1" x14ac:dyDescent="0.25">
      <c r="A25" s="59"/>
      <c r="B25" s="15"/>
      <c r="C25" s="15"/>
      <c r="D25" s="15"/>
      <c r="E25" s="15"/>
      <c r="F25" s="15">
        <f t="shared" si="0"/>
        <v>0</v>
      </c>
      <c r="G25" s="15"/>
      <c r="H25" s="56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</row>
    <row r="26" spans="1:20" ht="25.5" customHeight="1" x14ac:dyDescent="0.25">
      <c r="A26" s="59"/>
      <c r="B26" s="15"/>
      <c r="C26" s="15"/>
      <c r="D26" s="15"/>
      <c r="E26" s="15"/>
      <c r="F26" s="15">
        <f t="shared" si="0"/>
        <v>0</v>
      </c>
      <c r="G26" s="15"/>
      <c r="H26" s="56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</row>
    <row r="27" spans="1:20" ht="25.5" customHeight="1" x14ac:dyDescent="0.25">
      <c r="A27" s="59"/>
      <c r="B27" s="15"/>
      <c r="C27" s="15"/>
      <c r="D27" s="15"/>
      <c r="E27" s="15"/>
      <c r="F27" s="15">
        <f t="shared" si="0"/>
        <v>0</v>
      </c>
      <c r="G27" s="15"/>
      <c r="H27" s="56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</row>
    <row r="28" spans="1:20" ht="25.5" customHeight="1" x14ac:dyDescent="0.25">
      <c r="A28" s="59"/>
      <c r="B28" s="15"/>
      <c r="C28" s="15"/>
      <c r="D28" s="15"/>
      <c r="E28" s="15"/>
      <c r="F28" s="15">
        <f t="shared" si="0"/>
        <v>0</v>
      </c>
      <c r="G28" s="15"/>
      <c r="H28" s="56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</row>
    <row r="29" spans="1:20" ht="25.5" customHeight="1" x14ac:dyDescent="0.25">
      <c r="A29" s="59"/>
      <c r="B29" s="15"/>
      <c r="C29" s="15"/>
      <c r="D29" s="15"/>
      <c r="E29" s="15"/>
      <c r="F29" s="15">
        <f t="shared" si="0"/>
        <v>0</v>
      </c>
      <c r="G29" s="15"/>
      <c r="H29" s="56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</row>
    <row r="30" spans="1:20" ht="25.5" customHeight="1" x14ac:dyDescent="0.25">
      <c r="A30" s="59"/>
      <c r="B30" s="15"/>
      <c r="C30" s="15"/>
      <c r="D30" s="15"/>
      <c r="E30" s="15"/>
      <c r="F30" s="15">
        <f t="shared" si="0"/>
        <v>0</v>
      </c>
      <c r="G30" s="15"/>
      <c r="H30" s="56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</row>
    <row r="31" spans="1:20" ht="25.5" customHeight="1" x14ac:dyDescent="0.25">
      <c r="A31" s="59"/>
      <c r="B31" s="15"/>
      <c r="C31" s="15"/>
      <c r="D31" s="15"/>
      <c r="E31" s="15"/>
      <c r="F31" s="15">
        <f t="shared" si="0"/>
        <v>0</v>
      </c>
      <c r="G31" s="15"/>
      <c r="H31" s="56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</row>
    <row r="32" spans="1:20" ht="25.5" customHeight="1" x14ac:dyDescent="0.25">
      <c r="A32" s="59"/>
      <c r="B32" s="15"/>
      <c r="C32" s="15"/>
      <c r="D32" s="15"/>
      <c r="E32" s="15"/>
      <c r="F32" s="15">
        <f t="shared" si="0"/>
        <v>0</v>
      </c>
      <c r="G32" s="15"/>
      <c r="H32" s="56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</row>
    <row r="33" spans="1:20" ht="25.5" customHeight="1" x14ac:dyDescent="0.25">
      <c r="A33" s="59"/>
      <c r="B33" s="15"/>
      <c r="C33" s="15"/>
      <c r="D33" s="15"/>
      <c r="E33" s="15"/>
      <c r="F33" s="15">
        <f t="shared" si="0"/>
        <v>0</v>
      </c>
      <c r="G33" s="15"/>
      <c r="H33" s="56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</row>
    <row r="34" spans="1:20" ht="25.5" customHeight="1" x14ac:dyDescent="0.25">
      <c r="A34" s="59"/>
      <c r="B34" s="15"/>
      <c r="C34" s="15"/>
      <c r="D34" s="15"/>
      <c r="E34" s="15"/>
      <c r="F34" s="15">
        <f t="shared" si="0"/>
        <v>0</v>
      </c>
      <c r="G34" s="15"/>
      <c r="H34" s="56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</row>
    <row r="35" spans="1:20" ht="25.5" customHeight="1" x14ac:dyDescent="0.25">
      <c r="A35" s="59"/>
      <c r="B35" s="15"/>
      <c r="C35" s="15"/>
      <c r="D35" s="15"/>
      <c r="E35" s="15"/>
      <c r="F35" s="15">
        <f t="shared" si="0"/>
        <v>0</v>
      </c>
      <c r="G35" s="15"/>
      <c r="H35" s="56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</row>
    <row r="36" spans="1:20" ht="25.5" customHeight="1" x14ac:dyDescent="0.25">
      <c r="A36" s="59"/>
      <c r="B36" s="15"/>
      <c r="C36" s="15"/>
      <c r="D36" s="15"/>
      <c r="E36" s="15"/>
      <c r="F36" s="15">
        <f t="shared" si="0"/>
        <v>0</v>
      </c>
      <c r="G36" s="15"/>
      <c r="H36" s="56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</row>
    <row r="37" spans="1:20" ht="25.5" customHeight="1" x14ac:dyDescent="0.25">
      <c r="A37" s="59"/>
      <c r="B37" s="15"/>
      <c r="C37" s="15"/>
      <c r="D37" s="15"/>
      <c r="E37" s="15"/>
      <c r="F37" s="15">
        <f t="shared" si="0"/>
        <v>0</v>
      </c>
      <c r="G37" s="15"/>
      <c r="H37" s="56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</row>
    <row r="38" spans="1:20" ht="25.5" customHeight="1" x14ac:dyDescent="0.25">
      <c r="A38" s="59"/>
      <c r="B38" s="15"/>
      <c r="C38" s="15"/>
      <c r="D38" s="15"/>
      <c r="E38" s="15"/>
      <c r="F38" s="15">
        <f t="shared" si="0"/>
        <v>0</v>
      </c>
      <c r="G38" s="15"/>
      <c r="H38" s="56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</row>
    <row r="39" spans="1:20" ht="41.25" customHeight="1" x14ac:dyDescent="0.25">
      <c r="A39" s="161" t="s">
        <v>6</v>
      </c>
      <c r="B39" s="161"/>
      <c r="C39" s="161"/>
      <c r="D39" s="15">
        <f>SUM(D4:D38)</f>
        <v>0</v>
      </c>
      <c r="E39" s="55"/>
      <c r="F39" s="15">
        <f>SUM(F4:F38)</f>
        <v>0</v>
      </c>
      <c r="G39" s="15">
        <f t="shared" ref="G39:T39" si="1">SUM(G4:G38)</f>
        <v>0</v>
      </c>
      <c r="H39" s="56">
        <f t="shared" si="1"/>
        <v>0</v>
      </c>
      <c r="I39" s="15">
        <f t="shared" si="1"/>
        <v>0</v>
      </c>
      <c r="J39" s="15">
        <f t="shared" si="1"/>
        <v>0</v>
      </c>
      <c r="K39" s="15">
        <f t="shared" si="1"/>
        <v>0</v>
      </c>
      <c r="L39" s="15">
        <f t="shared" si="1"/>
        <v>0</v>
      </c>
      <c r="M39" s="15">
        <f t="shared" si="1"/>
        <v>0</v>
      </c>
      <c r="N39" s="15">
        <f t="shared" si="1"/>
        <v>0</v>
      </c>
      <c r="O39" s="15">
        <f t="shared" si="1"/>
        <v>0</v>
      </c>
      <c r="P39" s="15">
        <f t="shared" si="1"/>
        <v>0</v>
      </c>
      <c r="Q39" s="15">
        <f t="shared" si="1"/>
        <v>0</v>
      </c>
      <c r="R39" s="15">
        <f t="shared" si="1"/>
        <v>0</v>
      </c>
      <c r="S39" s="15">
        <f t="shared" si="1"/>
        <v>0</v>
      </c>
      <c r="T39" s="15">
        <f t="shared" si="1"/>
        <v>0</v>
      </c>
    </row>
    <row r="40" spans="1:20" ht="15.75" thickBot="1" x14ac:dyDescent="0.3"/>
    <row r="41" spans="1:20" ht="30.75" customHeight="1" thickTop="1" thickBot="1" x14ac:dyDescent="0.3">
      <c r="E41" s="2" t="s">
        <v>26</v>
      </c>
      <c r="F41" s="3" t="s">
        <v>27</v>
      </c>
      <c r="G41" s="4" t="s">
        <v>28</v>
      </c>
    </row>
    <row r="42" spans="1:20" ht="48.75" customHeight="1" thickTop="1" x14ac:dyDescent="0.25">
      <c r="A42" s="2" t="s">
        <v>19</v>
      </c>
      <c r="B42" s="6">
        <f>+D39</f>
        <v>0</v>
      </c>
      <c r="C42" s="7"/>
      <c r="E42" s="5">
        <v>200</v>
      </c>
      <c r="F42" s="6"/>
      <c r="G42" s="7">
        <f>+E42*F42</f>
        <v>0</v>
      </c>
    </row>
    <row r="43" spans="1:20" ht="46.5" customHeight="1" x14ac:dyDescent="0.25">
      <c r="A43" s="9" t="s">
        <v>20</v>
      </c>
      <c r="B43" s="6">
        <f>D8</f>
        <v>0</v>
      </c>
      <c r="C43" s="7"/>
      <c r="E43" s="5">
        <v>100</v>
      </c>
      <c r="F43" s="6"/>
      <c r="G43" s="7">
        <f t="shared" ref="G43:G45" si="2">+E43*F43</f>
        <v>0</v>
      </c>
    </row>
    <row r="44" spans="1:20" ht="46.5" customHeight="1" x14ac:dyDescent="0.25">
      <c r="A44" s="9" t="s">
        <v>21</v>
      </c>
      <c r="B44" s="6">
        <f>F39</f>
        <v>0</v>
      </c>
      <c r="C44" s="7"/>
      <c r="E44" s="5">
        <v>50</v>
      </c>
      <c r="F44" s="6"/>
      <c r="G44" s="7">
        <f t="shared" si="2"/>
        <v>0</v>
      </c>
    </row>
    <row r="45" spans="1:20" ht="51.75" customHeight="1" x14ac:dyDescent="0.25">
      <c r="A45" s="9" t="s">
        <v>22</v>
      </c>
      <c r="B45" s="11">
        <f>+B42-B43-B44</f>
        <v>0</v>
      </c>
      <c r="C45" s="12"/>
      <c r="E45" s="5">
        <v>20</v>
      </c>
      <c r="F45" s="6"/>
      <c r="G45" s="7">
        <f t="shared" si="2"/>
        <v>0</v>
      </c>
    </row>
    <row r="46" spans="1:20" ht="46.5" customHeight="1" x14ac:dyDescent="0.25">
      <c r="A46" s="9" t="s">
        <v>23</v>
      </c>
      <c r="B46" s="11">
        <f>G49</f>
        <v>0</v>
      </c>
      <c r="C46" s="12"/>
      <c r="D46" s="1"/>
      <c r="E46" s="5">
        <v>10</v>
      </c>
      <c r="F46" s="6"/>
      <c r="G46" s="7">
        <f>+E46*F46</f>
        <v>0</v>
      </c>
    </row>
    <row r="47" spans="1:20" ht="34.5" customHeight="1" x14ac:dyDescent="0.25">
      <c r="A47" s="9" t="s">
        <v>24</v>
      </c>
      <c r="B47" s="11">
        <f>IF(B45&lt;B46,B46-B45,0)</f>
        <v>0</v>
      </c>
      <c r="C47" s="12"/>
      <c r="E47" s="5">
        <v>5</v>
      </c>
      <c r="F47" s="6"/>
      <c r="G47" s="7">
        <f>+E47*F47</f>
        <v>0</v>
      </c>
    </row>
    <row r="48" spans="1:20" ht="36.75" customHeight="1" x14ac:dyDescent="0.25">
      <c r="A48" s="9" t="s">
        <v>7</v>
      </c>
      <c r="B48" s="11">
        <f>IF(B45&gt;B46,B45-B46,0)</f>
        <v>0</v>
      </c>
      <c r="C48" s="12"/>
      <c r="E48" s="5">
        <v>1</v>
      </c>
      <c r="F48" s="6"/>
      <c r="G48" s="7">
        <f>+E48*F48</f>
        <v>0</v>
      </c>
    </row>
    <row r="49" spans="1:7" ht="30" customHeight="1" thickBot="1" x14ac:dyDescent="0.35">
      <c r="A49" s="10" t="s">
        <v>29</v>
      </c>
      <c r="B49" s="13" t="b">
        <f>B45=B46</f>
        <v>1</v>
      </c>
      <c r="C49" s="14"/>
      <c r="E49" s="159" t="s">
        <v>25</v>
      </c>
      <c r="F49" s="160"/>
      <c r="G49" s="8">
        <f>SUM(G42:G48)</f>
        <v>0</v>
      </c>
    </row>
    <row r="50" spans="1:7" ht="15.75" thickTop="1" x14ac:dyDescent="0.25"/>
  </sheetData>
  <mergeCells count="3">
    <mergeCell ref="E49:F49"/>
    <mergeCell ref="E2:L2"/>
    <mergeCell ref="A39:C39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42" orientation="landscape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0"/>
  <sheetViews>
    <sheetView rightToLeft="1" topLeftCell="A2" zoomScale="71" zoomScaleNormal="71" workbookViewId="0">
      <selection activeCell="E9" sqref="E9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4.14062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6" bestFit="1" customWidth="1"/>
    <col min="16" max="16" width="15.7109375" bestFit="1" customWidth="1"/>
    <col min="18" max="18" width="15.85546875" bestFit="1" customWidth="1"/>
    <col min="19" max="19" width="14" customWidth="1"/>
    <col min="20" max="20" width="10.140625" customWidth="1"/>
  </cols>
  <sheetData>
    <row r="1" spans="1:20" ht="15.75" hidden="1" thickBot="1" x14ac:dyDescent="0.3"/>
    <row r="2" spans="1:20" ht="25.5" customHeight="1" thickBot="1" x14ac:dyDescent="0.3">
      <c r="A2" s="50" t="s">
        <v>0</v>
      </c>
      <c r="B2" s="51"/>
      <c r="C2" s="51"/>
      <c r="D2" s="52"/>
      <c r="E2" s="157">
        <f ca="1">TODAY()</f>
        <v>45118</v>
      </c>
      <c r="F2" s="158"/>
      <c r="G2" s="158"/>
      <c r="H2" s="158"/>
      <c r="I2" s="158"/>
      <c r="J2" s="158"/>
      <c r="K2" s="158"/>
      <c r="L2" s="158"/>
      <c r="M2" s="53"/>
      <c r="N2" s="53"/>
      <c r="O2" s="53"/>
      <c r="P2" s="53"/>
      <c r="Q2" s="53"/>
      <c r="R2" s="53"/>
      <c r="S2" s="53"/>
      <c r="T2" s="53"/>
    </row>
    <row r="3" spans="1:20" ht="36.75" customHeight="1" x14ac:dyDescent="0.25">
      <c r="A3" s="54" t="s">
        <v>4</v>
      </c>
      <c r="B3" s="54" t="s">
        <v>3</v>
      </c>
      <c r="C3" s="54" t="s">
        <v>1</v>
      </c>
      <c r="D3" s="54" t="s">
        <v>2</v>
      </c>
      <c r="E3" s="54" t="s">
        <v>1</v>
      </c>
      <c r="F3" s="54" t="s">
        <v>13</v>
      </c>
      <c r="G3" s="54" t="s">
        <v>5</v>
      </c>
      <c r="H3" s="57" t="s">
        <v>8</v>
      </c>
      <c r="I3" s="18" t="s">
        <v>9</v>
      </c>
      <c r="J3" s="18" t="s">
        <v>10</v>
      </c>
      <c r="K3" s="18" t="s">
        <v>11</v>
      </c>
      <c r="L3" s="18" t="s">
        <v>12</v>
      </c>
      <c r="M3" s="18" t="s">
        <v>31</v>
      </c>
      <c r="N3" s="18" t="s">
        <v>45</v>
      </c>
      <c r="O3" s="18" t="s">
        <v>32</v>
      </c>
      <c r="P3" s="18" t="s">
        <v>34</v>
      </c>
      <c r="Q3" s="18" t="s">
        <v>35</v>
      </c>
      <c r="R3" s="18" t="s">
        <v>39</v>
      </c>
      <c r="S3" s="18" t="s">
        <v>38</v>
      </c>
      <c r="T3" s="19" t="s">
        <v>40</v>
      </c>
    </row>
    <row r="4" spans="1:20" ht="25.5" customHeight="1" x14ac:dyDescent="0.25">
      <c r="A4" s="59"/>
      <c r="B4" s="15"/>
      <c r="C4" s="15" t="s">
        <v>14</v>
      </c>
      <c r="D4" s="15"/>
      <c r="E4" s="15"/>
      <c r="F4" s="15">
        <f>SUM(G4:T4)</f>
        <v>0</v>
      </c>
      <c r="G4" s="15"/>
      <c r="H4" s="56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</row>
    <row r="5" spans="1:20" ht="25.5" customHeight="1" x14ac:dyDescent="0.25">
      <c r="A5" s="59"/>
      <c r="B5" s="15"/>
      <c r="C5" s="15" t="s">
        <v>15</v>
      </c>
      <c r="D5" s="15"/>
      <c r="E5" s="15"/>
      <c r="F5" s="15">
        <f t="shared" ref="F5:F38" si="0">SUM(G5:T5)</f>
        <v>0</v>
      </c>
      <c r="G5" s="15"/>
      <c r="H5" s="56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</row>
    <row r="6" spans="1:20" ht="25.5" customHeight="1" x14ac:dyDescent="0.25">
      <c r="A6" s="59"/>
      <c r="B6" s="15"/>
      <c r="C6" s="15" t="s">
        <v>16</v>
      </c>
      <c r="D6" s="15"/>
      <c r="E6" s="15"/>
      <c r="F6" s="15">
        <f t="shared" si="0"/>
        <v>0</v>
      </c>
      <c r="G6" s="15"/>
      <c r="H6" s="56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</row>
    <row r="7" spans="1:20" ht="25.5" customHeight="1" x14ac:dyDescent="0.25">
      <c r="A7" s="59"/>
      <c r="B7" s="15"/>
      <c r="C7" s="15" t="s">
        <v>17</v>
      </c>
      <c r="D7" s="15"/>
      <c r="E7" s="120" t="s">
        <v>299</v>
      </c>
      <c r="F7" s="15">
        <f t="shared" si="0"/>
        <v>0</v>
      </c>
      <c r="G7" s="15"/>
      <c r="H7" s="56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</row>
    <row r="8" spans="1:20" ht="25.5" customHeight="1" x14ac:dyDescent="0.25">
      <c r="A8" s="59"/>
      <c r="B8" s="15"/>
      <c r="C8" s="15" t="s">
        <v>18</v>
      </c>
      <c r="D8" s="15"/>
      <c r="E8" s="15"/>
      <c r="F8" s="15">
        <f t="shared" si="0"/>
        <v>0</v>
      </c>
      <c r="G8" s="15"/>
      <c r="H8" s="56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ht="25.5" customHeight="1" x14ac:dyDescent="0.25">
      <c r="A9" s="59"/>
      <c r="B9" s="15"/>
      <c r="C9" s="15" t="s">
        <v>30</v>
      </c>
      <c r="D9" s="15"/>
      <c r="E9" s="15"/>
      <c r="F9" s="15">
        <f t="shared" si="0"/>
        <v>0</v>
      </c>
      <c r="G9" s="15"/>
      <c r="H9" s="56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</row>
    <row r="10" spans="1:20" ht="25.5" customHeight="1" x14ac:dyDescent="0.25">
      <c r="A10" s="59"/>
      <c r="B10" s="15"/>
      <c r="C10" s="15" t="s">
        <v>46</v>
      </c>
      <c r="D10" s="15"/>
      <c r="E10" s="15"/>
      <c r="F10" s="15">
        <f t="shared" si="0"/>
        <v>0</v>
      </c>
      <c r="G10" s="15"/>
      <c r="H10" s="56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ht="25.5" customHeight="1" x14ac:dyDescent="0.25">
      <c r="A11" s="59"/>
      <c r="B11" s="15"/>
      <c r="C11" s="15"/>
      <c r="D11" s="15"/>
      <c r="E11" s="15"/>
      <c r="F11" s="15">
        <f t="shared" si="0"/>
        <v>0</v>
      </c>
      <c r="G11" s="15"/>
      <c r="H11" s="56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</row>
    <row r="12" spans="1:20" ht="25.5" customHeight="1" x14ac:dyDescent="0.25">
      <c r="A12" s="59"/>
      <c r="B12" s="15"/>
      <c r="C12" s="15"/>
      <c r="D12" s="15"/>
      <c r="E12" s="15"/>
      <c r="F12" s="15">
        <f t="shared" si="0"/>
        <v>0</v>
      </c>
      <c r="G12" s="15"/>
      <c r="H12" s="56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</row>
    <row r="13" spans="1:20" ht="25.5" customHeight="1" x14ac:dyDescent="0.25">
      <c r="A13" s="59"/>
      <c r="B13" s="15"/>
      <c r="C13" s="15"/>
      <c r="D13" s="15"/>
      <c r="E13" s="15"/>
      <c r="F13" s="15">
        <f t="shared" si="0"/>
        <v>0</v>
      </c>
      <c r="G13" s="15"/>
      <c r="H13" s="56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ht="25.5" customHeight="1" x14ac:dyDescent="0.25">
      <c r="A14" s="59"/>
      <c r="B14" s="15"/>
      <c r="C14" s="15"/>
      <c r="D14" s="15"/>
      <c r="E14" s="15"/>
      <c r="F14" s="15">
        <f t="shared" si="0"/>
        <v>0</v>
      </c>
      <c r="G14" s="15"/>
      <c r="H14" s="56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ht="25.5" customHeight="1" x14ac:dyDescent="0.25">
      <c r="A15" s="59"/>
      <c r="B15" s="15"/>
      <c r="C15" s="15"/>
      <c r="D15" s="15"/>
      <c r="E15" s="15"/>
      <c r="F15" s="15">
        <f t="shared" si="0"/>
        <v>0</v>
      </c>
      <c r="G15" s="15"/>
      <c r="H15" s="56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ht="25.5" customHeight="1" x14ac:dyDescent="0.25">
      <c r="A16" s="59"/>
      <c r="B16" s="15"/>
      <c r="C16" s="15"/>
      <c r="D16" s="15"/>
      <c r="E16" s="15"/>
      <c r="F16" s="15">
        <f t="shared" si="0"/>
        <v>0</v>
      </c>
      <c r="G16" s="15"/>
      <c r="H16" s="56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</row>
    <row r="17" spans="1:20" ht="25.5" customHeight="1" x14ac:dyDescent="0.25">
      <c r="A17" s="59"/>
      <c r="B17" s="15"/>
      <c r="C17" s="15"/>
      <c r="D17" s="15"/>
      <c r="E17" s="15"/>
      <c r="F17" s="15">
        <f t="shared" si="0"/>
        <v>0</v>
      </c>
      <c r="G17" s="15"/>
      <c r="H17" s="56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</row>
    <row r="18" spans="1:20" ht="25.5" customHeight="1" x14ac:dyDescent="0.25">
      <c r="A18" s="59"/>
      <c r="B18" s="15"/>
      <c r="C18" s="15"/>
      <c r="D18" s="15"/>
      <c r="E18" s="15"/>
      <c r="F18" s="15">
        <f t="shared" si="0"/>
        <v>0</v>
      </c>
      <c r="G18" s="15"/>
      <c r="H18" s="56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ht="25.5" customHeight="1" x14ac:dyDescent="0.25">
      <c r="A19" s="59"/>
      <c r="B19" s="15"/>
      <c r="C19" s="15"/>
      <c r="D19" s="15"/>
      <c r="E19" s="15"/>
      <c r="F19" s="15">
        <f t="shared" si="0"/>
        <v>0</v>
      </c>
      <c r="G19" s="15"/>
      <c r="H19" s="56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ht="25.5" customHeight="1" x14ac:dyDescent="0.25">
      <c r="A20" s="59"/>
      <c r="B20" s="15"/>
      <c r="C20" s="15"/>
      <c r="D20" s="15"/>
      <c r="E20" s="15"/>
      <c r="F20" s="15">
        <f t="shared" si="0"/>
        <v>0</v>
      </c>
      <c r="G20" s="15"/>
      <c r="H20" s="56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ht="25.5" customHeight="1" x14ac:dyDescent="0.25">
      <c r="A21" s="59"/>
      <c r="B21" s="15"/>
      <c r="C21" s="15"/>
      <c r="D21" s="15"/>
      <c r="E21" s="15"/>
      <c r="F21" s="15">
        <f t="shared" si="0"/>
        <v>0</v>
      </c>
      <c r="G21" s="15"/>
      <c r="H21" s="56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25.5" customHeight="1" x14ac:dyDescent="0.25">
      <c r="A22" s="59"/>
      <c r="B22" s="15"/>
      <c r="C22" s="15"/>
      <c r="D22" s="15"/>
      <c r="E22" s="15"/>
      <c r="F22" s="15">
        <f t="shared" si="0"/>
        <v>0</v>
      </c>
      <c r="G22" s="15"/>
      <c r="H22" s="56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</row>
    <row r="23" spans="1:20" ht="25.5" customHeight="1" x14ac:dyDescent="0.25">
      <c r="A23" s="59"/>
      <c r="B23" s="15"/>
      <c r="C23" s="15"/>
      <c r="D23" s="15"/>
      <c r="E23" s="15"/>
      <c r="F23" s="15">
        <f t="shared" si="0"/>
        <v>0</v>
      </c>
      <c r="G23" s="15"/>
      <c r="H23" s="56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</row>
    <row r="24" spans="1:20" ht="25.5" customHeight="1" x14ac:dyDescent="0.25">
      <c r="A24" s="59"/>
      <c r="B24" s="15"/>
      <c r="C24" s="15"/>
      <c r="D24" s="15"/>
      <c r="E24" s="15"/>
      <c r="F24" s="15">
        <f t="shared" si="0"/>
        <v>0</v>
      </c>
      <c r="G24" s="15"/>
      <c r="H24" s="56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</row>
    <row r="25" spans="1:20" ht="25.5" customHeight="1" x14ac:dyDescent="0.25">
      <c r="A25" s="59"/>
      <c r="B25" s="15"/>
      <c r="C25" s="15"/>
      <c r="D25" s="15"/>
      <c r="E25" s="15"/>
      <c r="F25" s="15">
        <f t="shared" si="0"/>
        <v>0</v>
      </c>
      <c r="G25" s="15"/>
      <c r="H25" s="56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</row>
    <row r="26" spans="1:20" ht="25.5" customHeight="1" x14ac:dyDescent="0.25">
      <c r="A26" s="59"/>
      <c r="B26" s="15"/>
      <c r="C26" s="15"/>
      <c r="D26" s="15"/>
      <c r="E26" s="15"/>
      <c r="F26" s="15">
        <f t="shared" si="0"/>
        <v>0</v>
      </c>
      <c r="G26" s="15"/>
      <c r="H26" s="56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</row>
    <row r="27" spans="1:20" ht="25.5" customHeight="1" x14ac:dyDescent="0.25">
      <c r="A27" s="59"/>
      <c r="B27" s="15"/>
      <c r="C27" s="15"/>
      <c r="D27" s="15"/>
      <c r="E27" s="15"/>
      <c r="F27" s="15">
        <f t="shared" si="0"/>
        <v>0</v>
      </c>
      <c r="G27" s="15"/>
      <c r="H27" s="56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</row>
    <row r="28" spans="1:20" ht="25.5" customHeight="1" x14ac:dyDescent="0.25">
      <c r="A28" s="59"/>
      <c r="B28" s="15"/>
      <c r="C28" s="15"/>
      <c r="D28" s="15"/>
      <c r="E28" s="15"/>
      <c r="F28" s="15">
        <f t="shared" si="0"/>
        <v>0</v>
      </c>
      <c r="G28" s="15"/>
      <c r="H28" s="56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</row>
    <row r="29" spans="1:20" ht="25.5" customHeight="1" x14ac:dyDescent="0.25">
      <c r="A29" s="59"/>
      <c r="B29" s="15"/>
      <c r="C29" s="15"/>
      <c r="D29" s="15"/>
      <c r="E29" s="15"/>
      <c r="F29" s="15">
        <f t="shared" si="0"/>
        <v>0</v>
      </c>
      <c r="G29" s="15"/>
      <c r="H29" s="56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</row>
    <row r="30" spans="1:20" ht="25.5" customHeight="1" x14ac:dyDescent="0.25">
      <c r="A30" s="59"/>
      <c r="B30" s="15"/>
      <c r="C30" s="15"/>
      <c r="D30" s="15"/>
      <c r="E30" s="15"/>
      <c r="F30" s="15">
        <f t="shared" si="0"/>
        <v>0</v>
      </c>
      <c r="G30" s="15"/>
      <c r="H30" s="56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</row>
    <row r="31" spans="1:20" ht="25.5" customHeight="1" x14ac:dyDescent="0.25">
      <c r="A31" s="59"/>
      <c r="B31" s="15"/>
      <c r="C31" s="15"/>
      <c r="D31" s="15"/>
      <c r="E31" s="15"/>
      <c r="F31" s="15">
        <f t="shared" si="0"/>
        <v>0</v>
      </c>
      <c r="G31" s="15"/>
      <c r="H31" s="56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</row>
    <row r="32" spans="1:20" ht="25.5" customHeight="1" x14ac:dyDescent="0.25">
      <c r="A32" s="59"/>
      <c r="B32" s="15"/>
      <c r="C32" s="15"/>
      <c r="D32" s="15"/>
      <c r="E32" s="15"/>
      <c r="F32" s="15">
        <f t="shared" si="0"/>
        <v>0</v>
      </c>
      <c r="G32" s="15"/>
      <c r="H32" s="56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</row>
    <row r="33" spans="1:20" ht="25.5" customHeight="1" x14ac:dyDescent="0.25">
      <c r="A33" s="59"/>
      <c r="B33" s="15"/>
      <c r="C33" s="15"/>
      <c r="D33" s="15"/>
      <c r="E33" s="15"/>
      <c r="F33" s="15">
        <f t="shared" si="0"/>
        <v>0</v>
      </c>
      <c r="G33" s="15"/>
      <c r="H33" s="56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</row>
    <row r="34" spans="1:20" ht="25.5" customHeight="1" x14ac:dyDescent="0.25">
      <c r="A34" s="59"/>
      <c r="B34" s="15"/>
      <c r="C34" s="15"/>
      <c r="D34" s="15"/>
      <c r="E34" s="15"/>
      <c r="F34" s="15">
        <f t="shared" si="0"/>
        <v>0</v>
      </c>
      <c r="G34" s="15"/>
      <c r="H34" s="56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</row>
    <row r="35" spans="1:20" ht="25.5" customHeight="1" x14ac:dyDescent="0.25">
      <c r="A35" s="59"/>
      <c r="B35" s="15"/>
      <c r="C35" s="15"/>
      <c r="D35" s="15"/>
      <c r="E35" s="15"/>
      <c r="F35" s="15">
        <f t="shared" si="0"/>
        <v>0</v>
      </c>
      <c r="G35" s="15"/>
      <c r="H35" s="56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</row>
    <row r="36" spans="1:20" ht="25.5" customHeight="1" x14ac:dyDescent="0.25">
      <c r="A36" s="59"/>
      <c r="B36" s="15"/>
      <c r="C36" s="15"/>
      <c r="D36" s="15"/>
      <c r="E36" s="15"/>
      <c r="F36" s="15">
        <f t="shared" si="0"/>
        <v>0</v>
      </c>
      <c r="G36" s="15"/>
      <c r="H36" s="56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</row>
    <row r="37" spans="1:20" ht="25.5" customHeight="1" x14ac:dyDescent="0.25">
      <c r="A37" s="59"/>
      <c r="B37" s="15"/>
      <c r="C37" s="15"/>
      <c r="D37" s="15"/>
      <c r="E37" s="15"/>
      <c r="F37" s="15">
        <f t="shared" si="0"/>
        <v>0</v>
      </c>
      <c r="G37" s="15"/>
      <c r="H37" s="56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</row>
    <row r="38" spans="1:20" ht="25.5" customHeight="1" x14ac:dyDescent="0.25">
      <c r="A38" s="59"/>
      <c r="B38" s="15"/>
      <c r="C38" s="15"/>
      <c r="D38" s="15"/>
      <c r="E38" s="15"/>
      <c r="F38" s="15">
        <f t="shared" si="0"/>
        <v>0</v>
      </c>
      <c r="G38" s="15"/>
      <c r="H38" s="56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</row>
    <row r="39" spans="1:20" ht="41.25" customHeight="1" x14ac:dyDescent="0.25">
      <c r="A39" s="161" t="s">
        <v>6</v>
      </c>
      <c r="B39" s="161"/>
      <c r="C39" s="161"/>
      <c r="D39" s="15">
        <f>SUM(D4:D38)</f>
        <v>0</v>
      </c>
      <c r="E39" s="55"/>
      <c r="F39" s="15">
        <f>SUM(F4:F38)</f>
        <v>0</v>
      </c>
      <c r="G39" s="15">
        <f t="shared" ref="G39:T39" si="1">SUM(G4:G38)</f>
        <v>0</v>
      </c>
      <c r="H39" s="56">
        <f t="shared" si="1"/>
        <v>0</v>
      </c>
      <c r="I39" s="15">
        <f t="shared" si="1"/>
        <v>0</v>
      </c>
      <c r="J39" s="15">
        <f t="shared" si="1"/>
        <v>0</v>
      </c>
      <c r="K39" s="15">
        <f t="shared" si="1"/>
        <v>0</v>
      </c>
      <c r="L39" s="15">
        <f t="shared" si="1"/>
        <v>0</v>
      </c>
      <c r="M39" s="15">
        <f t="shared" si="1"/>
        <v>0</v>
      </c>
      <c r="N39" s="15">
        <f t="shared" si="1"/>
        <v>0</v>
      </c>
      <c r="O39" s="15">
        <f t="shared" si="1"/>
        <v>0</v>
      </c>
      <c r="P39" s="15">
        <f t="shared" si="1"/>
        <v>0</v>
      </c>
      <c r="Q39" s="15">
        <f t="shared" si="1"/>
        <v>0</v>
      </c>
      <c r="R39" s="15">
        <f t="shared" si="1"/>
        <v>0</v>
      </c>
      <c r="S39" s="15">
        <f t="shared" si="1"/>
        <v>0</v>
      </c>
      <c r="T39" s="15">
        <f t="shared" si="1"/>
        <v>0</v>
      </c>
    </row>
    <row r="40" spans="1:20" ht="15.75" thickBot="1" x14ac:dyDescent="0.3"/>
    <row r="41" spans="1:20" ht="30.75" customHeight="1" thickTop="1" thickBot="1" x14ac:dyDescent="0.3">
      <c r="E41" s="2" t="s">
        <v>26</v>
      </c>
      <c r="F41" s="3" t="s">
        <v>27</v>
      </c>
      <c r="G41" s="4" t="s">
        <v>28</v>
      </c>
    </row>
    <row r="42" spans="1:20" ht="48.75" customHeight="1" thickTop="1" x14ac:dyDescent="0.25">
      <c r="A42" s="2" t="s">
        <v>19</v>
      </c>
      <c r="B42" s="6">
        <f>+D39</f>
        <v>0</v>
      </c>
      <c r="C42" s="7"/>
      <c r="E42" s="5">
        <v>200</v>
      </c>
      <c r="F42" s="6"/>
      <c r="G42" s="7">
        <f>+E42*F42</f>
        <v>0</v>
      </c>
    </row>
    <row r="43" spans="1:20" ht="46.5" customHeight="1" x14ac:dyDescent="0.25">
      <c r="A43" s="9" t="s">
        <v>20</v>
      </c>
      <c r="B43" s="6">
        <f>D8</f>
        <v>0</v>
      </c>
      <c r="C43" s="7"/>
      <c r="E43" s="5">
        <v>100</v>
      </c>
      <c r="F43" s="6"/>
      <c r="G43" s="7">
        <f t="shared" ref="G43:G45" si="2">+E43*F43</f>
        <v>0</v>
      </c>
    </row>
    <row r="44" spans="1:20" ht="46.5" customHeight="1" x14ac:dyDescent="0.25">
      <c r="A44" s="9" t="s">
        <v>21</v>
      </c>
      <c r="B44" s="6">
        <f>F39</f>
        <v>0</v>
      </c>
      <c r="C44" s="7"/>
      <c r="E44" s="5">
        <v>50</v>
      </c>
      <c r="F44" s="6"/>
      <c r="G44" s="7">
        <f t="shared" si="2"/>
        <v>0</v>
      </c>
    </row>
    <row r="45" spans="1:20" ht="51.75" customHeight="1" x14ac:dyDescent="0.25">
      <c r="A45" s="9" t="s">
        <v>22</v>
      </c>
      <c r="B45" s="11">
        <f>+B42-B43-B44</f>
        <v>0</v>
      </c>
      <c r="C45" s="12"/>
      <c r="E45" s="5">
        <v>20</v>
      </c>
      <c r="F45" s="6"/>
      <c r="G45" s="7">
        <f t="shared" si="2"/>
        <v>0</v>
      </c>
    </row>
    <row r="46" spans="1:20" ht="46.5" customHeight="1" x14ac:dyDescent="0.25">
      <c r="A46" s="9" t="s">
        <v>23</v>
      </c>
      <c r="B46" s="11">
        <f>G49</f>
        <v>0</v>
      </c>
      <c r="C46" s="12"/>
      <c r="D46" s="1"/>
      <c r="E46" s="5">
        <v>10</v>
      </c>
      <c r="F46" s="6"/>
      <c r="G46" s="7">
        <f>+E46*F46</f>
        <v>0</v>
      </c>
    </row>
    <row r="47" spans="1:20" ht="34.5" customHeight="1" x14ac:dyDescent="0.25">
      <c r="A47" s="9" t="s">
        <v>24</v>
      </c>
      <c r="B47" s="11">
        <f>IF(B45&lt;B46,B46-B45,0)</f>
        <v>0</v>
      </c>
      <c r="C47" s="12"/>
      <c r="E47" s="5">
        <v>5</v>
      </c>
      <c r="F47" s="6"/>
      <c r="G47" s="7">
        <f>+E47*F47</f>
        <v>0</v>
      </c>
    </row>
    <row r="48" spans="1:20" ht="36.75" customHeight="1" x14ac:dyDescent="0.25">
      <c r="A48" s="9" t="s">
        <v>7</v>
      </c>
      <c r="B48" s="11">
        <f>IF(B45&gt;B46,B45-B46,0)</f>
        <v>0</v>
      </c>
      <c r="C48" s="12"/>
      <c r="E48" s="5">
        <v>1</v>
      </c>
      <c r="F48" s="6"/>
      <c r="G48" s="7">
        <f>+E48*F48</f>
        <v>0</v>
      </c>
    </row>
    <row r="49" spans="1:7" ht="30" customHeight="1" thickBot="1" x14ac:dyDescent="0.35">
      <c r="A49" s="10" t="s">
        <v>29</v>
      </c>
      <c r="B49" s="13" t="b">
        <f>B45=B46</f>
        <v>1</v>
      </c>
      <c r="C49" s="14"/>
      <c r="E49" s="159" t="s">
        <v>25</v>
      </c>
      <c r="F49" s="160"/>
      <c r="G49" s="8">
        <f>SUM(G42:G48)</f>
        <v>0</v>
      </c>
    </row>
    <row r="50" spans="1:7" ht="15.75" thickTop="1" x14ac:dyDescent="0.25"/>
  </sheetData>
  <mergeCells count="3">
    <mergeCell ref="E49:F49"/>
    <mergeCell ref="E2:L2"/>
    <mergeCell ref="A39:C39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42" orientation="landscape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0"/>
  <sheetViews>
    <sheetView rightToLeft="1" topLeftCell="E41" zoomScale="71" zoomScaleNormal="71" workbookViewId="0">
      <selection activeCell="R49" sqref="R49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4.14062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6" bestFit="1" customWidth="1"/>
    <col min="16" max="16" width="15.7109375" bestFit="1" customWidth="1"/>
    <col min="18" max="18" width="15.85546875" bestFit="1" customWidth="1"/>
    <col min="19" max="19" width="14" customWidth="1"/>
    <col min="20" max="20" width="10.140625" customWidth="1"/>
  </cols>
  <sheetData>
    <row r="1" spans="1:20" ht="15.75" hidden="1" thickBot="1" x14ac:dyDescent="0.3"/>
    <row r="2" spans="1:20" ht="25.5" customHeight="1" thickBot="1" x14ac:dyDescent="0.3">
      <c r="A2" s="50" t="s">
        <v>0</v>
      </c>
      <c r="B2" s="51"/>
      <c r="C2" s="51"/>
      <c r="D2" s="52"/>
      <c r="E2" s="157">
        <f ca="1">TODAY()</f>
        <v>45118</v>
      </c>
      <c r="F2" s="158"/>
      <c r="G2" s="158"/>
      <c r="H2" s="158"/>
      <c r="I2" s="158"/>
      <c r="J2" s="158"/>
      <c r="K2" s="158"/>
      <c r="L2" s="158"/>
      <c r="M2" s="53"/>
      <c r="N2" s="53"/>
      <c r="O2" s="53"/>
      <c r="P2" s="53"/>
      <c r="Q2" s="53"/>
      <c r="R2" s="53"/>
      <c r="S2" s="53"/>
      <c r="T2" s="53"/>
    </row>
    <row r="3" spans="1:20" ht="36.75" customHeight="1" x14ac:dyDescent="0.25">
      <c r="A3" s="54" t="s">
        <v>4</v>
      </c>
      <c r="B3" s="54" t="s">
        <v>3</v>
      </c>
      <c r="C3" s="54" t="s">
        <v>1</v>
      </c>
      <c r="D3" s="54" t="s">
        <v>2</v>
      </c>
      <c r="E3" s="54" t="s">
        <v>1</v>
      </c>
      <c r="F3" s="54" t="s">
        <v>13</v>
      </c>
      <c r="G3" s="54" t="s">
        <v>5</v>
      </c>
      <c r="H3" s="57" t="s">
        <v>8</v>
      </c>
      <c r="I3" s="18" t="s">
        <v>9</v>
      </c>
      <c r="J3" s="18" t="s">
        <v>10</v>
      </c>
      <c r="K3" s="18" t="s">
        <v>11</v>
      </c>
      <c r="L3" s="18" t="s">
        <v>12</v>
      </c>
      <c r="M3" s="18" t="s">
        <v>31</v>
      </c>
      <c r="N3" s="18" t="s">
        <v>45</v>
      </c>
      <c r="O3" s="18" t="s">
        <v>32</v>
      </c>
      <c r="P3" s="18" t="s">
        <v>34</v>
      </c>
      <c r="Q3" s="18" t="s">
        <v>35</v>
      </c>
      <c r="R3" s="18" t="s">
        <v>39</v>
      </c>
      <c r="S3" s="18" t="s">
        <v>38</v>
      </c>
      <c r="T3" s="19" t="s">
        <v>40</v>
      </c>
    </row>
    <row r="4" spans="1:20" ht="25.5" customHeight="1" x14ac:dyDescent="0.25">
      <c r="A4" s="59">
        <v>45106</v>
      </c>
      <c r="B4" s="15"/>
      <c r="C4" s="15" t="s">
        <v>14</v>
      </c>
      <c r="D4" s="15">
        <v>498</v>
      </c>
      <c r="E4" s="15" t="s">
        <v>112</v>
      </c>
      <c r="F4" s="15">
        <f>SUM(G4:T4)</f>
        <v>100</v>
      </c>
      <c r="G4" s="15"/>
      <c r="H4" s="56"/>
      <c r="I4" s="15"/>
      <c r="J4" s="15"/>
      <c r="K4" s="15"/>
      <c r="L4" s="15"/>
      <c r="M4" s="15"/>
      <c r="N4" s="15"/>
      <c r="O4" s="15"/>
      <c r="P4" s="15"/>
      <c r="Q4" s="15"/>
      <c r="R4" s="15">
        <v>100</v>
      </c>
      <c r="S4" s="15"/>
      <c r="T4" s="15"/>
    </row>
    <row r="5" spans="1:20" ht="25.5" customHeight="1" x14ac:dyDescent="0.25">
      <c r="A5" s="59">
        <v>45106</v>
      </c>
      <c r="B5" s="15"/>
      <c r="C5" s="15" t="s">
        <v>15</v>
      </c>
      <c r="D5" s="15">
        <v>1321</v>
      </c>
      <c r="E5" s="15" t="s">
        <v>297</v>
      </c>
      <c r="F5" s="15">
        <f t="shared" ref="F5:F38" si="0">SUM(G5:T5)</f>
        <v>300</v>
      </c>
      <c r="G5" s="15">
        <v>300</v>
      </c>
      <c r="H5" s="56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</row>
    <row r="6" spans="1:20" ht="25.5" customHeight="1" x14ac:dyDescent="0.25">
      <c r="A6" s="59">
        <v>45106</v>
      </c>
      <c r="B6" s="15"/>
      <c r="C6" s="15" t="s">
        <v>16</v>
      </c>
      <c r="D6" s="15">
        <v>0</v>
      </c>
      <c r="E6" s="15" t="s">
        <v>121</v>
      </c>
      <c r="F6" s="15">
        <f t="shared" si="0"/>
        <v>160</v>
      </c>
      <c r="G6" s="15">
        <v>160</v>
      </c>
      <c r="H6" s="56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</row>
    <row r="7" spans="1:20" ht="25.5" customHeight="1" x14ac:dyDescent="0.25">
      <c r="A7" s="59">
        <v>45106</v>
      </c>
      <c r="B7" s="15"/>
      <c r="C7" s="15" t="s">
        <v>17</v>
      </c>
      <c r="D7" s="15">
        <v>0</v>
      </c>
      <c r="E7" s="15" t="s">
        <v>74</v>
      </c>
      <c r="F7" s="15">
        <f t="shared" si="0"/>
        <v>160</v>
      </c>
      <c r="G7" s="15">
        <v>160</v>
      </c>
      <c r="H7" s="56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</row>
    <row r="8" spans="1:20" ht="25.5" customHeight="1" x14ac:dyDescent="0.25">
      <c r="A8" s="59">
        <v>45106</v>
      </c>
      <c r="B8" s="15"/>
      <c r="C8" s="15" t="s">
        <v>18</v>
      </c>
      <c r="D8" s="15">
        <f>120+40</f>
        <v>160</v>
      </c>
      <c r="E8" s="15" t="s">
        <v>118</v>
      </c>
      <c r="F8" s="15">
        <f t="shared" si="0"/>
        <v>170</v>
      </c>
      <c r="G8" s="15">
        <v>170</v>
      </c>
      <c r="H8" s="56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ht="25.5" customHeight="1" x14ac:dyDescent="0.25">
      <c r="A9" s="59">
        <v>45106</v>
      </c>
      <c r="B9" s="15"/>
      <c r="C9" s="15" t="s">
        <v>30</v>
      </c>
      <c r="D9" s="15">
        <v>0</v>
      </c>
      <c r="E9" s="15" t="s">
        <v>79</v>
      </c>
      <c r="F9" s="15">
        <f t="shared" si="0"/>
        <v>50</v>
      </c>
      <c r="G9" s="15">
        <v>50</v>
      </c>
      <c r="H9" s="56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</row>
    <row r="10" spans="1:20" ht="25.5" customHeight="1" x14ac:dyDescent="0.25">
      <c r="A10" s="59">
        <v>45106</v>
      </c>
      <c r="B10" s="15"/>
      <c r="C10" s="15" t="s">
        <v>46</v>
      </c>
      <c r="D10" s="15">
        <v>0</v>
      </c>
      <c r="E10" s="15" t="s">
        <v>127</v>
      </c>
      <c r="F10" s="15">
        <f t="shared" si="0"/>
        <v>200</v>
      </c>
      <c r="G10" s="15">
        <v>200</v>
      </c>
      <c r="H10" s="56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ht="25.5" customHeight="1" x14ac:dyDescent="0.25">
      <c r="A11" s="59">
        <v>45106</v>
      </c>
      <c r="B11" s="15"/>
      <c r="C11" s="15"/>
      <c r="D11" s="15"/>
      <c r="E11" s="15" t="s">
        <v>298</v>
      </c>
      <c r="F11" s="15">
        <f t="shared" si="0"/>
        <v>50</v>
      </c>
      <c r="G11" s="15">
        <v>50</v>
      </c>
      <c r="H11" s="56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</row>
    <row r="12" spans="1:20" ht="25.5" customHeight="1" x14ac:dyDescent="0.25">
      <c r="A12" s="59">
        <v>45106</v>
      </c>
      <c r="B12" s="15"/>
      <c r="C12" s="15"/>
      <c r="D12" s="15"/>
      <c r="E12" s="15" t="s">
        <v>84</v>
      </c>
      <c r="F12" s="15">
        <f t="shared" si="0"/>
        <v>170</v>
      </c>
      <c r="G12" s="15">
        <v>170</v>
      </c>
      <c r="H12" s="56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</row>
    <row r="13" spans="1:20" ht="25.5" customHeight="1" x14ac:dyDescent="0.25">
      <c r="A13" s="59">
        <v>45106</v>
      </c>
      <c r="B13" s="15"/>
      <c r="C13" s="15"/>
      <c r="D13" s="15"/>
      <c r="E13" s="15" t="s">
        <v>88</v>
      </c>
      <c r="F13" s="15">
        <f t="shared" si="0"/>
        <v>150</v>
      </c>
      <c r="G13" s="15">
        <v>150</v>
      </c>
      <c r="H13" s="56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ht="25.5" customHeight="1" x14ac:dyDescent="0.25">
      <c r="A14" s="59">
        <v>45106</v>
      </c>
      <c r="B14" s="15"/>
      <c r="C14" s="15"/>
      <c r="D14" s="15"/>
      <c r="E14" s="15" t="s">
        <v>86</v>
      </c>
      <c r="F14" s="15">
        <f t="shared" si="0"/>
        <v>120</v>
      </c>
      <c r="G14" s="15">
        <v>120</v>
      </c>
      <c r="H14" s="56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ht="25.5" customHeight="1" x14ac:dyDescent="0.25">
      <c r="A15" s="59">
        <v>45106</v>
      </c>
      <c r="B15" s="15"/>
      <c r="C15" s="15"/>
      <c r="D15" s="15"/>
      <c r="E15" s="15" t="s">
        <v>80</v>
      </c>
      <c r="F15" s="15">
        <f t="shared" si="0"/>
        <v>50</v>
      </c>
      <c r="G15" s="15">
        <v>50</v>
      </c>
      <c r="H15" s="56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ht="25.5" customHeight="1" x14ac:dyDescent="0.25">
      <c r="A16" s="59">
        <v>45106</v>
      </c>
      <c r="B16" s="15"/>
      <c r="C16" s="15"/>
      <c r="D16" s="15"/>
      <c r="E16" s="15"/>
      <c r="F16" s="15">
        <f t="shared" si="0"/>
        <v>0</v>
      </c>
      <c r="G16" s="15"/>
      <c r="H16" s="56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</row>
    <row r="17" spans="1:20" ht="25.5" customHeight="1" x14ac:dyDescent="0.25">
      <c r="A17" s="59">
        <v>45106</v>
      </c>
      <c r="B17" s="15"/>
      <c r="C17" s="15"/>
      <c r="D17" s="15"/>
      <c r="E17" s="15"/>
      <c r="F17" s="15">
        <f t="shared" si="0"/>
        <v>0</v>
      </c>
      <c r="G17" s="15"/>
      <c r="H17" s="56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</row>
    <row r="18" spans="1:20" ht="25.5" customHeight="1" x14ac:dyDescent="0.25">
      <c r="A18" s="59">
        <v>45106</v>
      </c>
      <c r="B18" s="15"/>
      <c r="C18" s="15"/>
      <c r="D18" s="15"/>
      <c r="E18" s="15"/>
      <c r="F18" s="15">
        <f t="shared" si="0"/>
        <v>0</v>
      </c>
      <c r="G18" s="15"/>
      <c r="H18" s="56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ht="25.5" customHeight="1" x14ac:dyDescent="0.25">
      <c r="A19" s="59">
        <v>45106</v>
      </c>
      <c r="B19" s="15"/>
      <c r="C19" s="15"/>
      <c r="D19" s="15"/>
      <c r="E19" s="15"/>
      <c r="F19" s="15">
        <f t="shared" si="0"/>
        <v>0</v>
      </c>
      <c r="G19" s="15"/>
      <c r="H19" s="56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ht="25.5" customHeight="1" x14ac:dyDescent="0.25">
      <c r="A20" s="59">
        <v>45106</v>
      </c>
      <c r="B20" s="15"/>
      <c r="C20" s="15"/>
      <c r="D20" s="15"/>
      <c r="E20" s="15"/>
      <c r="F20" s="15">
        <f t="shared" si="0"/>
        <v>0</v>
      </c>
      <c r="G20" s="15"/>
      <c r="H20" s="56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ht="25.5" customHeight="1" x14ac:dyDescent="0.25">
      <c r="A21" s="59">
        <v>45106</v>
      </c>
      <c r="B21" s="15"/>
      <c r="C21" s="15"/>
      <c r="D21" s="15"/>
      <c r="E21" s="15"/>
      <c r="F21" s="15">
        <f t="shared" si="0"/>
        <v>0</v>
      </c>
      <c r="G21" s="15"/>
      <c r="H21" s="56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25.5" customHeight="1" x14ac:dyDescent="0.25">
      <c r="A22" s="59">
        <v>45106</v>
      </c>
      <c r="B22" s="15"/>
      <c r="C22" s="15"/>
      <c r="D22" s="15"/>
      <c r="E22" s="15"/>
      <c r="F22" s="15">
        <f t="shared" si="0"/>
        <v>0</v>
      </c>
      <c r="G22" s="15"/>
      <c r="H22" s="56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</row>
    <row r="23" spans="1:20" ht="25.5" customHeight="1" x14ac:dyDescent="0.25">
      <c r="A23" s="59">
        <v>45106</v>
      </c>
      <c r="B23" s="15"/>
      <c r="C23" s="15"/>
      <c r="D23" s="15"/>
      <c r="E23" s="15"/>
      <c r="F23" s="15">
        <f t="shared" si="0"/>
        <v>0</v>
      </c>
      <c r="G23" s="15"/>
      <c r="H23" s="56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</row>
    <row r="24" spans="1:20" ht="25.5" customHeight="1" x14ac:dyDescent="0.25">
      <c r="A24" s="59">
        <v>45106</v>
      </c>
      <c r="B24" s="15"/>
      <c r="C24" s="15"/>
      <c r="D24" s="15"/>
      <c r="E24" s="15"/>
      <c r="F24" s="15">
        <f t="shared" si="0"/>
        <v>0</v>
      </c>
      <c r="G24" s="15"/>
      <c r="H24" s="56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</row>
    <row r="25" spans="1:20" ht="25.5" customHeight="1" x14ac:dyDescent="0.25">
      <c r="A25" s="59">
        <v>45106</v>
      </c>
      <c r="B25" s="15"/>
      <c r="C25" s="15"/>
      <c r="D25" s="15"/>
      <c r="E25" s="15"/>
      <c r="F25" s="15">
        <f t="shared" si="0"/>
        <v>0</v>
      </c>
      <c r="G25" s="15"/>
      <c r="H25" s="56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</row>
    <row r="26" spans="1:20" ht="25.5" customHeight="1" x14ac:dyDescent="0.25">
      <c r="A26" s="59">
        <v>45106</v>
      </c>
      <c r="B26" s="15"/>
      <c r="C26" s="15"/>
      <c r="D26" s="15"/>
      <c r="E26" s="15"/>
      <c r="F26" s="15">
        <f t="shared" si="0"/>
        <v>0</v>
      </c>
      <c r="G26" s="15"/>
      <c r="H26" s="56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</row>
    <row r="27" spans="1:20" ht="25.5" customHeight="1" x14ac:dyDescent="0.25">
      <c r="A27" s="59">
        <v>45106</v>
      </c>
      <c r="B27" s="15"/>
      <c r="C27" s="15"/>
      <c r="D27" s="15"/>
      <c r="E27" s="15"/>
      <c r="F27" s="15">
        <f t="shared" si="0"/>
        <v>0</v>
      </c>
      <c r="G27" s="15"/>
      <c r="H27" s="56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</row>
    <row r="28" spans="1:20" ht="25.5" customHeight="1" x14ac:dyDescent="0.25">
      <c r="A28" s="59">
        <v>45106</v>
      </c>
      <c r="B28" s="15"/>
      <c r="C28" s="15"/>
      <c r="D28" s="15"/>
      <c r="E28" s="15"/>
      <c r="F28" s="15">
        <f t="shared" si="0"/>
        <v>0</v>
      </c>
      <c r="G28" s="15"/>
      <c r="H28" s="56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</row>
    <row r="29" spans="1:20" ht="25.5" customHeight="1" x14ac:dyDescent="0.25">
      <c r="A29" s="59">
        <v>45106</v>
      </c>
      <c r="B29" s="15"/>
      <c r="C29" s="15"/>
      <c r="D29" s="15"/>
      <c r="E29" s="15"/>
      <c r="F29" s="15">
        <f t="shared" si="0"/>
        <v>0</v>
      </c>
      <c r="G29" s="15"/>
      <c r="H29" s="56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</row>
    <row r="30" spans="1:20" ht="25.5" customHeight="1" x14ac:dyDescent="0.25">
      <c r="A30" s="59">
        <v>45106</v>
      </c>
      <c r="B30" s="15"/>
      <c r="C30" s="15"/>
      <c r="D30" s="15"/>
      <c r="E30" s="15"/>
      <c r="F30" s="15">
        <f t="shared" si="0"/>
        <v>0</v>
      </c>
      <c r="G30" s="15"/>
      <c r="H30" s="56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</row>
    <row r="31" spans="1:20" ht="25.5" customHeight="1" x14ac:dyDescent="0.25">
      <c r="A31" s="59">
        <v>45106</v>
      </c>
      <c r="B31" s="15"/>
      <c r="C31" s="15"/>
      <c r="D31" s="15"/>
      <c r="E31" s="15"/>
      <c r="F31" s="15">
        <f t="shared" si="0"/>
        <v>0</v>
      </c>
      <c r="G31" s="15"/>
      <c r="H31" s="56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</row>
    <row r="32" spans="1:20" ht="25.5" customHeight="1" x14ac:dyDescent="0.25">
      <c r="A32" s="59">
        <v>45106</v>
      </c>
      <c r="B32" s="15"/>
      <c r="C32" s="15"/>
      <c r="D32" s="15"/>
      <c r="E32" s="15"/>
      <c r="F32" s="15">
        <f t="shared" si="0"/>
        <v>0</v>
      </c>
      <c r="G32" s="15"/>
      <c r="H32" s="56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</row>
    <row r="33" spans="1:20" ht="25.5" customHeight="1" x14ac:dyDescent="0.25">
      <c r="A33" s="59">
        <v>45106</v>
      </c>
      <c r="B33" s="15"/>
      <c r="C33" s="15"/>
      <c r="D33" s="15"/>
      <c r="E33" s="15"/>
      <c r="F33" s="15">
        <f t="shared" si="0"/>
        <v>0</v>
      </c>
      <c r="G33" s="15"/>
      <c r="H33" s="56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</row>
    <row r="34" spans="1:20" ht="25.5" customHeight="1" x14ac:dyDescent="0.25">
      <c r="A34" s="59">
        <v>45106</v>
      </c>
      <c r="B34" s="15"/>
      <c r="C34" s="15"/>
      <c r="D34" s="15"/>
      <c r="E34" s="15"/>
      <c r="F34" s="15">
        <f t="shared" si="0"/>
        <v>0</v>
      </c>
      <c r="G34" s="15"/>
      <c r="H34" s="56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</row>
    <row r="35" spans="1:20" ht="25.5" customHeight="1" x14ac:dyDescent="0.25">
      <c r="A35" s="59">
        <v>45106</v>
      </c>
      <c r="B35" s="15"/>
      <c r="C35" s="15"/>
      <c r="D35" s="15"/>
      <c r="E35" s="15"/>
      <c r="F35" s="15">
        <f t="shared" si="0"/>
        <v>0</v>
      </c>
      <c r="G35" s="15"/>
      <c r="H35" s="56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</row>
    <row r="36" spans="1:20" ht="25.5" customHeight="1" x14ac:dyDescent="0.25">
      <c r="A36" s="59">
        <v>45106</v>
      </c>
      <c r="B36" s="15"/>
      <c r="C36" s="15"/>
      <c r="D36" s="15"/>
      <c r="E36" s="15"/>
      <c r="F36" s="15">
        <f t="shared" si="0"/>
        <v>0</v>
      </c>
      <c r="G36" s="15"/>
      <c r="H36" s="56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</row>
    <row r="37" spans="1:20" ht="25.5" customHeight="1" x14ac:dyDescent="0.25">
      <c r="A37" s="59">
        <v>45106</v>
      </c>
      <c r="B37" s="15"/>
      <c r="C37" s="15"/>
      <c r="D37" s="15"/>
      <c r="E37" s="15"/>
      <c r="F37" s="15">
        <f t="shared" si="0"/>
        <v>0</v>
      </c>
      <c r="G37" s="15"/>
      <c r="H37" s="56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</row>
    <row r="38" spans="1:20" ht="25.5" customHeight="1" x14ac:dyDescent="0.25">
      <c r="A38" s="59">
        <v>45106</v>
      </c>
      <c r="B38" s="15"/>
      <c r="C38" s="15"/>
      <c r="D38" s="15"/>
      <c r="E38" s="15"/>
      <c r="F38" s="15">
        <f t="shared" si="0"/>
        <v>0</v>
      </c>
      <c r="G38" s="15"/>
      <c r="H38" s="56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</row>
    <row r="39" spans="1:20" ht="41.25" customHeight="1" x14ac:dyDescent="0.25">
      <c r="A39" s="161" t="s">
        <v>6</v>
      </c>
      <c r="B39" s="161"/>
      <c r="C39" s="161"/>
      <c r="D39" s="15">
        <f>SUM(D4:D38)</f>
        <v>1979</v>
      </c>
      <c r="E39" s="55"/>
      <c r="F39" s="15">
        <f>SUM(F4:F38)</f>
        <v>1680</v>
      </c>
      <c r="G39" s="15">
        <f t="shared" ref="G39:T39" si="1">SUM(G4:G38)</f>
        <v>1580</v>
      </c>
      <c r="H39" s="56">
        <f t="shared" si="1"/>
        <v>0</v>
      </c>
      <c r="I39" s="15">
        <f t="shared" si="1"/>
        <v>0</v>
      </c>
      <c r="J39" s="15">
        <f t="shared" si="1"/>
        <v>0</v>
      </c>
      <c r="K39" s="15">
        <f t="shared" si="1"/>
        <v>0</v>
      </c>
      <c r="L39" s="15">
        <f t="shared" si="1"/>
        <v>0</v>
      </c>
      <c r="M39" s="15">
        <f t="shared" si="1"/>
        <v>0</v>
      </c>
      <c r="N39" s="15">
        <f t="shared" si="1"/>
        <v>0</v>
      </c>
      <c r="O39" s="15">
        <f t="shared" si="1"/>
        <v>0</v>
      </c>
      <c r="P39" s="15">
        <f t="shared" si="1"/>
        <v>0</v>
      </c>
      <c r="Q39" s="15">
        <f t="shared" si="1"/>
        <v>0</v>
      </c>
      <c r="R39" s="15">
        <f t="shared" si="1"/>
        <v>100</v>
      </c>
      <c r="S39" s="15">
        <f t="shared" si="1"/>
        <v>0</v>
      </c>
      <c r="T39" s="15">
        <f t="shared" si="1"/>
        <v>0</v>
      </c>
    </row>
    <row r="40" spans="1:20" ht="15.75" thickBot="1" x14ac:dyDescent="0.3"/>
    <row r="41" spans="1:20" ht="30.75" customHeight="1" thickTop="1" thickBot="1" x14ac:dyDescent="0.3">
      <c r="E41" s="2" t="s">
        <v>26</v>
      </c>
      <c r="F41" s="3" t="s">
        <v>27</v>
      </c>
      <c r="G41" s="4" t="s">
        <v>28</v>
      </c>
    </row>
    <row r="42" spans="1:20" ht="48.75" customHeight="1" thickTop="1" x14ac:dyDescent="0.25">
      <c r="A42" s="2" t="s">
        <v>19</v>
      </c>
      <c r="B42" s="6">
        <f>+D39</f>
        <v>1979</v>
      </c>
      <c r="C42" s="7"/>
      <c r="E42" s="5">
        <v>200</v>
      </c>
      <c r="F42" s="6"/>
      <c r="G42" s="7">
        <f>+E42*F42</f>
        <v>0</v>
      </c>
    </row>
    <row r="43" spans="1:20" ht="46.5" customHeight="1" x14ac:dyDescent="0.25">
      <c r="A43" s="9" t="s">
        <v>20</v>
      </c>
      <c r="B43" s="6">
        <f>D8</f>
        <v>160</v>
      </c>
      <c r="C43" s="7"/>
      <c r="E43" s="5">
        <v>100</v>
      </c>
      <c r="F43" s="6"/>
      <c r="G43" s="7">
        <f t="shared" ref="G43:G45" si="2">+E43*F43</f>
        <v>0</v>
      </c>
    </row>
    <row r="44" spans="1:20" ht="46.5" customHeight="1" x14ac:dyDescent="0.25">
      <c r="A44" s="9" t="s">
        <v>21</v>
      </c>
      <c r="B44" s="6">
        <f>F39</f>
        <v>1680</v>
      </c>
      <c r="C44" s="7"/>
      <c r="E44" s="5">
        <v>50</v>
      </c>
      <c r="F44" s="6">
        <v>1</v>
      </c>
      <c r="G44" s="7">
        <f t="shared" si="2"/>
        <v>50</v>
      </c>
    </row>
    <row r="45" spans="1:20" ht="51.75" customHeight="1" x14ac:dyDescent="0.25">
      <c r="A45" s="9" t="s">
        <v>22</v>
      </c>
      <c r="B45" s="11">
        <f>+B42-B43-B44</f>
        <v>139</v>
      </c>
      <c r="C45" s="12"/>
      <c r="E45" s="5">
        <v>20</v>
      </c>
      <c r="F45" s="6">
        <v>1</v>
      </c>
      <c r="G45" s="7">
        <f t="shared" si="2"/>
        <v>20</v>
      </c>
    </row>
    <row r="46" spans="1:20" ht="46.5" customHeight="1" x14ac:dyDescent="0.25">
      <c r="A46" s="9" t="s">
        <v>23</v>
      </c>
      <c r="B46" s="11">
        <f>G49</f>
        <v>140</v>
      </c>
      <c r="C46" s="12"/>
      <c r="D46" s="1"/>
      <c r="E46" s="5">
        <v>10</v>
      </c>
      <c r="F46" s="6">
        <v>2</v>
      </c>
      <c r="G46" s="7">
        <f>+E46*F46</f>
        <v>20</v>
      </c>
    </row>
    <row r="47" spans="1:20" ht="34.5" customHeight="1" x14ac:dyDescent="0.25">
      <c r="A47" s="9" t="s">
        <v>24</v>
      </c>
      <c r="B47" s="11">
        <f>IF(B45&lt;B46,B46-B45,0)</f>
        <v>1</v>
      </c>
      <c r="C47" s="12"/>
      <c r="E47" s="5">
        <v>5</v>
      </c>
      <c r="F47" s="6">
        <v>10</v>
      </c>
      <c r="G47" s="7">
        <f>+E47*F47</f>
        <v>50</v>
      </c>
    </row>
    <row r="48" spans="1:20" ht="36.75" customHeight="1" x14ac:dyDescent="0.25">
      <c r="A48" s="9" t="s">
        <v>7</v>
      </c>
      <c r="B48" s="11">
        <f>IF(B45&gt;B46,B45-B46,0)</f>
        <v>0</v>
      </c>
      <c r="C48" s="49"/>
      <c r="E48" s="5">
        <v>1</v>
      </c>
      <c r="F48" s="6"/>
      <c r="G48" s="7">
        <f>+E48*F48</f>
        <v>0</v>
      </c>
    </row>
    <row r="49" spans="1:7" ht="30" customHeight="1" thickBot="1" x14ac:dyDescent="0.35">
      <c r="A49" s="10" t="s">
        <v>29</v>
      </c>
      <c r="B49" s="13" t="b">
        <f>B45=B46</f>
        <v>0</v>
      </c>
      <c r="C49" s="14"/>
      <c r="E49" s="159" t="s">
        <v>25</v>
      </c>
      <c r="F49" s="160"/>
      <c r="G49" s="8">
        <f>SUM(G42:G48)</f>
        <v>140</v>
      </c>
    </row>
    <row r="50" spans="1:7" ht="15.75" thickTop="1" x14ac:dyDescent="0.25"/>
  </sheetData>
  <mergeCells count="3">
    <mergeCell ref="E49:F49"/>
    <mergeCell ref="E2:L2"/>
    <mergeCell ref="A39:C39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0"/>
  <sheetViews>
    <sheetView rightToLeft="1" topLeftCell="A44" zoomScale="70" zoomScaleNormal="70" workbookViewId="0">
      <selection activeCell="D17" sqref="D17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4.14062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4.42578125" bestFit="1" customWidth="1"/>
    <col min="18" max="19" width="14" customWidth="1"/>
    <col min="20" max="20" width="10.140625" customWidth="1"/>
  </cols>
  <sheetData>
    <row r="1" spans="1:20" ht="15.75" hidden="1" thickBot="1" x14ac:dyDescent="0.3"/>
    <row r="2" spans="1:20" ht="25.5" customHeight="1" thickBot="1" x14ac:dyDescent="0.3">
      <c r="A2" s="50" t="s">
        <v>0</v>
      </c>
      <c r="B2" s="51"/>
      <c r="C2" s="51"/>
      <c r="D2" s="52"/>
      <c r="E2" s="157">
        <f ca="1">TODAY()</f>
        <v>45118</v>
      </c>
      <c r="F2" s="158"/>
      <c r="G2" s="158"/>
      <c r="H2" s="158"/>
      <c r="I2" s="158"/>
      <c r="J2" s="158"/>
      <c r="K2" s="158"/>
      <c r="L2" s="158"/>
      <c r="M2" s="53"/>
      <c r="N2" s="53"/>
      <c r="O2" s="53"/>
      <c r="P2" s="53"/>
      <c r="Q2" s="53"/>
      <c r="R2" s="53"/>
      <c r="S2" s="53"/>
      <c r="T2" s="53"/>
    </row>
    <row r="3" spans="1:20" ht="36.75" customHeight="1" x14ac:dyDescent="0.25">
      <c r="A3" s="54" t="s">
        <v>4</v>
      </c>
      <c r="B3" s="54" t="s">
        <v>3</v>
      </c>
      <c r="C3" s="54" t="s">
        <v>1</v>
      </c>
      <c r="D3" s="54" t="s">
        <v>2</v>
      </c>
      <c r="E3" s="54" t="s">
        <v>1</v>
      </c>
      <c r="F3" s="54" t="s">
        <v>13</v>
      </c>
      <c r="G3" s="54" t="s">
        <v>5</v>
      </c>
      <c r="H3" s="57" t="s">
        <v>8</v>
      </c>
      <c r="I3" s="18" t="s">
        <v>9</v>
      </c>
      <c r="J3" s="18" t="s">
        <v>10</v>
      </c>
      <c r="K3" s="18" t="s">
        <v>11</v>
      </c>
      <c r="L3" s="18" t="s">
        <v>12</v>
      </c>
      <c r="M3" s="18" t="s">
        <v>31</v>
      </c>
      <c r="N3" s="18" t="s">
        <v>45</v>
      </c>
      <c r="O3" s="18" t="s">
        <v>32</v>
      </c>
      <c r="P3" s="18" t="s">
        <v>34</v>
      </c>
      <c r="Q3" s="18" t="s">
        <v>35</v>
      </c>
      <c r="R3" s="18" t="s">
        <v>39</v>
      </c>
      <c r="S3" s="18" t="s">
        <v>38</v>
      </c>
      <c r="T3" s="19" t="s">
        <v>40</v>
      </c>
    </row>
    <row r="4" spans="1:20" ht="25.5" customHeight="1" x14ac:dyDescent="0.25">
      <c r="A4" s="59">
        <v>45079</v>
      </c>
      <c r="B4" s="15"/>
      <c r="C4" s="15" t="s">
        <v>14</v>
      </c>
      <c r="D4" s="15">
        <f>476+204</f>
        <v>680</v>
      </c>
      <c r="E4" s="15" t="s">
        <v>90</v>
      </c>
      <c r="F4" s="15">
        <f>SUM(G4:T4)</f>
        <v>30</v>
      </c>
      <c r="G4" s="15"/>
      <c r="H4" s="56"/>
      <c r="I4" s="15"/>
      <c r="J4" s="15"/>
      <c r="K4" s="15"/>
      <c r="L4" s="15"/>
      <c r="M4" s="15"/>
      <c r="N4" s="15">
        <v>30</v>
      </c>
      <c r="O4" s="15"/>
      <c r="P4" s="15"/>
      <c r="Q4" s="15"/>
      <c r="R4" s="15"/>
      <c r="S4" s="15"/>
      <c r="T4" s="15"/>
    </row>
    <row r="5" spans="1:20" ht="25.5" customHeight="1" x14ac:dyDescent="0.25">
      <c r="A5" s="59">
        <v>45079</v>
      </c>
      <c r="B5" s="15"/>
      <c r="C5" s="15" t="s">
        <v>15</v>
      </c>
      <c r="D5" s="15">
        <f>1066+547</f>
        <v>1613</v>
      </c>
      <c r="E5" s="15" t="s">
        <v>66</v>
      </c>
      <c r="F5" s="15">
        <f t="shared" ref="F5:F38" si="0">SUM(G5:T5)</f>
        <v>100</v>
      </c>
      <c r="G5" s="15"/>
      <c r="H5" s="56"/>
      <c r="I5" s="15"/>
      <c r="J5" s="15"/>
      <c r="K5" s="15"/>
      <c r="L5" s="15"/>
      <c r="M5" s="15"/>
      <c r="N5" s="15"/>
      <c r="O5" s="15"/>
      <c r="P5" s="15"/>
      <c r="Q5" s="15"/>
      <c r="R5" s="15">
        <v>100</v>
      </c>
      <c r="S5" s="15"/>
      <c r="T5" s="15"/>
    </row>
    <row r="6" spans="1:20" ht="25.5" customHeight="1" x14ac:dyDescent="0.25">
      <c r="A6" s="59">
        <v>45079</v>
      </c>
      <c r="B6" s="15"/>
      <c r="C6" s="15" t="s">
        <v>16</v>
      </c>
      <c r="D6" s="15">
        <v>0</v>
      </c>
      <c r="E6" s="15" t="s">
        <v>12</v>
      </c>
      <c r="F6" s="15">
        <f t="shared" si="0"/>
        <v>180</v>
      </c>
      <c r="G6" s="15"/>
      <c r="H6" s="56"/>
      <c r="I6" s="15"/>
      <c r="J6" s="15"/>
      <c r="K6" s="15"/>
      <c r="L6" s="15">
        <f>90+90</f>
        <v>180</v>
      </c>
      <c r="M6" s="15"/>
      <c r="N6" s="15"/>
      <c r="O6" s="15"/>
      <c r="P6" s="15"/>
      <c r="Q6" s="15"/>
      <c r="R6" s="15"/>
      <c r="S6" s="15"/>
      <c r="T6" s="15"/>
    </row>
    <row r="7" spans="1:20" ht="25.5" customHeight="1" x14ac:dyDescent="0.25">
      <c r="A7" s="59">
        <v>45079</v>
      </c>
      <c r="B7" s="15"/>
      <c r="C7" s="15" t="s">
        <v>17</v>
      </c>
      <c r="D7" s="15">
        <f>63+394</f>
        <v>457</v>
      </c>
      <c r="E7" s="15" t="s">
        <v>91</v>
      </c>
      <c r="F7" s="15">
        <f t="shared" si="0"/>
        <v>10</v>
      </c>
      <c r="G7" s="15"/>
      <c r="H7" s="56"/>
      <c r="I7" s="15"/>
      <c r="J7" s="15"/>
      <c r="K7" s="15"/>
      <c r="L7" s="15"/>
      <c r="M7" s="15"/>
      <c r="N7" s="15"/>
      <c r="O7" s="15"/>
      <c r="P7" s="15">
        <v>10</v>
      </c>
      <c r="Q7" s="15"/>
      <c r="R7" s="15"/>
      <c r="S7" s="15"/>
      <c r="T7" s="15"/>
    </row>
    <row r="8" spans="1:20" ht="25.5" customHeight="1" x14ac:dyDescent="0.25">
      <c r="A8" s="59">
        <v>45079</v>
      </c>
      <c r="B8" s="15"/>
      <c r="C8" s="15" t="s">
        <v>18</v>
      </c>
      <c r="D8" s="15">
        <f>2000+25+25+25+75+1000+535+60+40</f>
        <v>3785</v>
      </c>
      <c r="E8" s="15" t="s">
        <v>92</v>
      </c>
      <c r="F8" s="15">
        <f t="shared" si="0"/>
        <v>55</v>
      </c>
      <c r="G8" s="15"/>
      <c r="H8" s="56"/>
      <c r="I8" s="15"/>
      <c r="J8" s="15"/>
      <c r="K8" s="15"/>
      <c r="L8" s="15"/>
      <c r="M8" s="15"/>
      <c r="N8" s="15">
        <v>55</v>
      </c>
      <c r="O8" s="15"/>
      <c r="P8" s="15"/>
      <c r="Q8" s="15"/>
      <c r="R8" s="15"/>
      <c r="S8" s="15"/>
      <c r="T8" s="15"/>
    </row>
    <row r="9" spans="1:20" ht="25.5" customHeight="1" x14ac:dyDescent="0.25">
      <c r="A9" s="59">
        <v>45079</v>
      </c>
      <c r="B9" s="15"/>
      <c r="C9" s="15" t="s">
        <v>30</v>
      </c>
      <c r="D9" s="15">
        <v>-10</v>
      </c>
      <c r="E9" s="15" t="s">
        <v>74</v>
      </c>
      <c r="F9" s="15">
        <f t="shared" si="0"/>
        <v>150</v>
      </c>
      <c r="G9" s="15">
        <v>150</v>
      </c>
      <c r="H9" s="56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</row>
    <row r="10" spans="1:20" ht="25.5" customHeight="1" x14ac:dyDescent="0.25">
      <c r="A10" s="59">
        <v>45079</v>
      </c>
      <c r="B10" s="15"/>
      <c r="C10" s="15" t="s">
        <v>46</v>
      </c>
      <c r="D10" s="15">
        <v>0</v>
      </c>
      <c r="E10" s="15" t="s">
        <v>73</v>
      </c>
      <c r="F10" s="15">
        <f t="shared" si="0"/>
        <v>170</v>
      </c>
      <c r="G10" s="15">
        <v>170</v>
      </c>
      <c r="H10" s="56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ht="25.5" customHeight="1" x14ac:dyDescent="0.25">
      <c r="A11" s="59">
        <v>45079</v>
      </c>
      <c r="B11" s="15"/>
      <c r="C11" s="15"/>
      <c r="D11" s="15"/>
      <c r="E11" s="15" t="s">
        <v>76</v>
      </c>
      <c r="F11" s="15">
        <f t="shared" si="0"/>
        <v>150</v>
      </c>
      <c r="G11" s="15">
        <v>150</v>
      </c>
      <c r="H11" s="56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</row>
    <row r="12" spans="1:20" ht="25.5" customHeight="1" x14ac:dyDescent="0.25">
      <c r="A12" s="59">
        <v>45079</v>
      </c>
      <c r="B12" s="15"/>
      <c r="C12" s="15"/>
      <c r="D12" s="15"/>
      <c r="E12" s="15" t="s">
        <v>75</v>
      </c>
      <c r="F12" s="15">
        <f t="shared" si="0"/>
        <v>150</v>
      </c>
      <c r="G12" s="15">
        <v>150</v>
      </c>
      <c r="H12" s="56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</row>
    <row r="13" spans="1:20" ht="25.5" customHeight="1" x14ac:dyDescent="0.25">
      <c r="A13" s="59">
        <v>45079</v>
      </c>
      <c r="B13" s="15"/>
      <c r="C13" s="15"/>
      <c r="D13" s="15"/>
      <c r="E13" s="15" t="s">
        <v>93</v>
      </c>
      <c r="F13" s="15">
        <f t="shared" si="0"/>
        <v>50</v>
      </c>
      <c r="G13" s="15">
        <v>50</v>
      </c>
      <c r="H13" s="56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ht="25.5" customHeight="1" x14ac:dyDescent="0.25">
      <c r="A14" s="59">
        <v>45079</v>
      </c>
      <c r="B14" s="15"/>
      <c r="C14" s="15"/>
      <c r="D14" s="15"/>
      <c r="E14" s="15" t="s">
        <v>94</v>
      </c>
      <c r="F14" s="15">
        <f t="shared" si="0"/>
        <v>100</v>
      </c>
      <c r="G14" s="15">
        <v>100</v>
      </c>
      <c r="H14" s="56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ht="25.5" customHeight="1" x14ac:dyDescent="0.25">
      <c r="A15" s="59">
        <v>45079</v>
      </c>
      <c r="B15" s="15"/>
      <c r="C15" s="15"/>
      <c r="D15" s="15"/>
      <c r="E15" s="15" t="s">
        <v>95</v>
      </c>
      <c r="F15" s="15">
        <f t="shared" si="0"/>
        <v>200</v>
      </c>
      <c r="G15" s="15">
        <v>200</v>
      </c>
      <c r="H15" s="56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ht="25.5" customHeight="1" x14ac:dyDescent="0.25">
      <c r="A16" s="59">
        <v>45079</v>
      </c>
      <c r="B16" s="15"/>
      <c r="C16" s="15"/>
      <c r="D16" s="15"/>
      <c r="E16" s="15" t="s">
        <v>96</v>
      </c>
      <c r="F16" s="15">
        <f t="shared" si="0"/>
        <v>160</v>
      </c>
      <c r="G16" s="15">
        <v>160</v>
      </c>
      <c r="H16" s="56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</row>
    <row r="17" spans="1:20" ht="25.5" customHeight="1" x14ac:dyDescent="0.25">
      <c r="A17" s="59">
        <v>45079</v>
      </c>
      <c r="B17" s="15"/>
      <c r="C17" s="15"/>
      <c r="D17" s="15"/>
      <c r="E17" s="15" t="s">
        <v>97</v>
      </c>
      <c r="F17" s="15">
        <f t="shared" si="0"/>
        <v>50</v>
      </c>
      <c r="G17" s="15">
        <v>50</v>
      </c>
      <c r="H17" s="56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</row>
    <row r="18" spans="1:20" ht="25.5" customHeight="1" x14ac:dyDescent="0.25">
      <c r="A18" s="59">
        <v>45079</v>
      </c>
      <c r="B18" s="15"/>
      <c r="C18" s="15"/>
      <c r="D18" s="15"/>
      <c r="E18" s="15" t="s">
        <v>98</v>
      </c>
      <c r="F18" s="15">
        <f t="shared" si="0"/>
        <v>50</v>
      </c>
      <c r="G18" s="15">
        <v>50</v>
      </c>
      <c r="H18" s="56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ht="25.5" customHeight="1" x14ac:dyDescent="0.25">
      <c r="A19" s="59">
        <v>45079</v>
      </c>
      <c r="B19" s="15"/>
      <c r="C19" s="15"/>
      <c r="D19" s="15"/>
      <c r="E19" s="15" t="s">
        <v>99</v>
      </c>
      <c r="F19" s="15">
        <f t="shared" si="0"/>
        <v>170</v>
      </c>
      <c r="G19" s="15">
        <v>170</v>
      </c>
      <c r="H19" s="56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ht="25.5" customHeight="1" x14ac:dyDescent="0.25">
      <c r="A20" s="59">
        <v>45079</v>
      </c>
      <c r="B20" s="15"/>
      <c r="C20" s="15"/>
      <c r="D20" s="15"/>
      <c r="E20" s="15" t="s">
        <v>85</v>
      </c>
      <c r="F20" s="15">
        <f t="shared" si="0"/>
        <v>100</v>
      </c>
      <c r="G20" s="15">
        <v>100</v>
      </c>
      <c r="H20" s="56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ht="25.5" customHeight="1" x14ac:dyDescent="0.25">
      <c r="A21" s="59">
        <v>45079</v>
      </c>
      <c r="B21" s="15"/>
      <c r="C21" s="15"/>
      <c r="D21" s="15"/>
      <c r="E21" s="15" t="s">
        <v>100</v>
      </c>
      <c r="F21" s="15">
        <f t="shared" si="0"/>
        <v>150</v>
      </c>
      <c r="G21" s="15">
        <v>150</v>
      </c>
      <c r="H21" s="56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25.5" customHeight="1" x14ac:dyDescent="0.25">
      <c r="A22" s="59">
        <v>45079</v>
      </c>
      <c r="B22" s="15"/>
      <c r="C22" s="15"/>
      <c r="D22" s="15"/>
      <c r="E22" s="15" t="s">
        <v>84</v>
      </c>
      <c r="F22" s="15">
        <f t="shared" si="0"/>
        <v>170</v>
      </c>
      <c r="G22" s="15">
        <v>170</v>
      </c>
      <c r="H22" s="56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</row>
    <row r="23" spans="1:20" ht="25.5" customHeight="1" x14ac:dyDescent="0.25">
      <c r="A23" s="59">
        <v>45079</v>
      </c>
      <c r="B23" s="15"/>
      <c r="C23" s="15"/>
      <c r="D23" s="15"/>
      <c r="E23" s="15" t="s">
        <v>101</v>
      </c>
      <c r="F23" s="15">
        <f t="shared" si="0"/>
        <v>30</v>
      </c>
      <c r="G23" s="15">
        <v>30</v>
      </c>
      <c r="H23" s="56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</row>
    <row r="24" spans="1:20" ht="25.5" customHeight="1" x14ac:dyDescent="0.25">
      <c r="A24" s="59">
        <v>45079</v>
      </c>
      <c r="B24" s="15"/>
      <c r="C24" s="15"/>
      <c r="D24" s="15"/>
      <c r="E24" s="15" t="s">
        <v>102</v>
      </c>
      <c r="F24" s="15">
        <f t="shared" si="0"/>
        <v>150</v>
      </c>
      <c r="G24" s="15">
        <v>150</v>
      </c>
      <c r="H24" s="56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</row>
    <row r="25" spans="1:20" ht="25.5" customHeight="1" x14ac:dyDescent="0.25">
      <c r="A25" s="59">
        <v>45079</v>
      </c>
      <c r="B25" s="15"/>
      <c r="C25" s="15"/>
      <c r="D25" s="15"/>
      <c r="E25" s="15"/>
      <c r="F25" s="15">
        <f t="shared" si="0"/>
        <v>0</v>
      </c>
      <c r="G25" s="15"/>
      <c r="H25" s="56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</row>
    <row r="26" spans="1:20" ht="25.5" customHeight="1" x14ac:dyDescent="0.25">
      <c r="A26" s="59">
        <v>45079</v>
      </c>
      <c r="B26" s="15"/>
      <c r="C26" s="15"/>
      <c r="D26" s="15"/>
      <c r="E26" s="15"/>
      <c r="F26" s="15">
        <f t="shared" si="0"/>
        <v>0</v>
      </c>
      <c r="G26" s="15"/>
      <c r="H26" s="56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</row>
    <row r="27" spans="1:20" ht="25.5" customHeight="1" x14ac:dyDescent="0.25">
      <c r="A27" s="59">
        <v>45079</v>
      </c>
      <c r="B27" s="15"/>
      <c r="C27" s="15"/>
      <c r="D27" s="15"/>
      <c r="E27" s="15"/>
      <c r="F27" s="15">
        <f t="shared" si="0"/>
        <v>0</v>
      </c>
      <c r="G27" s="15"/>
      <c r="H27" s="56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</row>
    <row r="28" spans="1:20" ht="25.5" customHeight="1" x14ac:dyDescent="0.25">
      <c r="A28" s="59">
        <v>45079</v>
      </c>
      <c r="B28" s="15"/>
      <c r="C28" s="15"/>
      <c r="D28" s="15"/>
      <c r="E28" s="15"/>
      <c r="F28" s="15">
        <f t="shared" si="0"/>
        <v>0</v>
      </c>
      <c r="G28" s="15"/>
      <c r="H28" s="56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</row>
    <row r="29" spans="1:20" ht="25.5" customHeight="1" x14ac:dyDescent="0.25">
      <c r="A29" s="59">
        <v>45079</v>
      </c>
      <c r="B29" s="15"/>
      <c r="C29" s="15"/>
      <c r="D29" s="15"/>
      <c r="E29" s="15"/>
      <c r="F29" s="15">
        <f t="shared" si="0"/>
        <v>0</v>
      </c>
      <c r="G29" s="15"/>
      <c r="H29" s="56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</row>
    <row r="30" spans="1:20" ht="25.5" customHeight="1" x14ac:dyDescent="0.25">
      <c r="A30" s="59">
        <v>45079</v>
      </c>
      <c r="B30" s="15"/>
      <c r="C30" s="15"/>
      <c r="D30" s="15"/>
      <c r="E30" s="15"/>
      <c r="F30" s="15">
        <f t="shared" si="0"/>
        <v>0</v>
      </c>
      <c r="G30" s="15"/>
      <c r="H30" s="56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</row>
    <row r="31" spans="1:20" ht="25.5" customHeight="1" x14ac:dyDescent="0.25">
      <c r="A31" s="59">
        <v>45079</v>
      </c>
      <c r="B31" s="15"/>
      <c r="C31" s="15"/>
      <c r="D31" s="15"/>
      <c r="E31" s="15"/>
      <c r="F31" s="15">
        <f t="shared" si="0"/>
        <v>0</v>
      </c>
      <c r="G31" s="15"/>
      <c r="H31" s="56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</row>
    <row r="32" spans="1:20" ht="25.5" customHeight="1" x14ac:dyDescent="0.25">
      <c r="A32" s="59">
        <v>45079</v>
      </c>
      <c r="B32" s="15"/>
      <c r="C32" s="15"/>
      <c r="D32" s="15"/>
      <c r="E32" s="15"/>
      <c r="F32" s="15">
        <f t="shared" si="0"/>
        <v>0</v>
      </c>
      <c r="G32" s="15"/>
      <c r="H32" s="56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</row>
    <row r="33" spans="1:20" ht="25.5" customHeight="1" x14ac:dyDescent="0.25">
      <c r="A33" s="59">
        <v>45079</v>
      </c>
      <c r="B33" s="15"/>
      <c r="C33" s="15"/>
      <c r="D33" s="15"/>
      <c r="E33" s="15"/>
      <c r="F33" s="15">
        <f t="shared" si="0"/>
        <v>0</v>
      </c>
      <c r="G33" s="15"/>
      <c r="H33" s="56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</row>
    <row r="34" spans="1:20" ht="25.5" customHeight="1" x14ac:dyDescent="0.25">
      <c r="A34" s="59">
        <v>45079</v>
      </c>
      <c r="B34" s="15"/>
      <c r="C34" s="15"/>
      <c r="D34" s="15"/>
      <c r="E34" s="15"/>
      <c r="F34" s="15">
        <f t="shared" si="0"/>
        <v>0</v>
      </c>
      <c r="G34" s="15"/>
      <c r="H34" s="56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</row>
    <row r="35" spans="1:20" ht="25.5" customHeight="1" x14ac:dyDescent="0.25">
      <c r="A35" s="59">
        <v>45079</v>
      </c>
      <c r="B35" s="15"/>
      <c r="C35" s="15"/>
      <c r="D35" s="15"/>
      <c r="E35" s="15"/>
      <c r="F35" s="15">
        <f t="shared" si="0"/>
        <v>0</v>
      </c>
      <c r="G35" s="15"/>
      <c r="H35" s="56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</row>
    <row r="36" spans="1:20" ht="25.5" customHeight="1" x14ac:dyDescent="0.25">
      <c r="A36" s="59">
        <v>45079</v>
      </c>
      <c r="B36" s="15"/>
      <c r="C36" s="15"/>
      <c r="D36" s="15"/>
      <c r="E36" s="15"/>
      <c r="F36" s="15">
        <f t="shared" si="0"/>
        <v>0</v>
      </c>
      <c r="G36" s="15"/>
      <c r="H36" s="56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</row>
    <row r="37" spans="1:20" ht="25.5" customHeight="1" x14ac:dyDescent="0.25">
      <c r="A37" s="59">
        <v>45079</v>
      </c>
      <c r="B37" s="15"/>
      <c r="C37" s="15"/>
      <c r="D37" s="15"/>
      <c r="E37" s="15"/>
      <c r="F37" s="15">
        <f t="shared" si="0"/>
        <v>0</v>
      </c>
      <c r="G37" s="15"/>
      <c r="H37" s="56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</row>
    <row r="38" spans="1:20" ht="25.5" customHeight="1" x14ac:dyDescent="0.25">
      <c r="A38" s="59">
        <v>45079</v>
      </c>
      <c r="B38" s="15"/>
      <c r="C38" s="15"/>
      <c r="D38" s="15"/>
      <c r="E38" s="15"/>
      <c r="F38" s="15">
        <f t="shared" si="0"/>
        <v>0</v>
      </c>
      <c r="G38" s="15"/>
      <c r="H38" s="56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</row>
    <row r="39" spans="1:20" ht="41.25" customHeight="1" x14ac:dyDescent="0.25">
      <c r="A39" s="161" t="s">
        <v>6</v>
      </c>
      <c r="B39" s="161"/>
      <c r="C39" s="161"/>
      <c r="D39" s="15">
        <f>SUM(D4:D38)</f>
        <v>6525</v>
      </c>
      <c r="E39" s="55"/>
      <c r="F39" s="15">
        <f>SUM(F4:F38)</f>
        <v>2375</v>
      </c>
      <c r="G39" s="15">
        <f t="shared" ref="G39:T39" si="1">SUM(G4:G38)</f>
        <v>2000</v>
      </c>
      <c r="H39" s="56">
        <f t="shared" si="1"/>
        <v>0</v>
      </c>
      <c r="I39" s="15">
        <f t="shared" si="1"/>
        <v>0</v>
      </c>
      <c r="J39" s="15">
        <f t="shared" si="1"/>
        <v>0</v>
      </c>
      <c r="K39" s="15">
        <f t="shared" si="1"/>
        <v>0</v>
      </c>
      <c r="L39" s="15">
        <f t="shared" si="1"/>
        <v>180</v>
      </c>
      <c r="M39" s="15">
        <f t="shared" si="1"/>
        <v>0</v>
      </c>
      <c r="N39" s="15">
        <f t="shared" si="1"/>
        <v>85</v>
      </c>
      <c r="O39" s="15">
        <f t="shared" si="1"/>
        <v>0</v>
      </c>
      <c r="P39" s="15">
        <f t="shared" si="1"/>
        <v>10</v>
      </c>
      <c r="Q39" s="15">
        <f t="shared" si="1"/>
        <v>0</v>
      </c>
      <c r="R39" s="15">
        <f t="shared" si="1"/>
        <v>100</v>
      </c>
      <c r="S39" s="15">
        <f t="shared" si="1"/>
        <v>0</v>
      </c>
      <c r="T39" s="15">
        <f t="shared" si="1"/>
        <v>0</v>
      </c>
    </row>
    <row r="40" spans="1:20" ht="15.75" thickBot="1" x14ac:dyDescent="0.3"/>
    <row r="41" spans="1:20" ht="30.75" customHeight="1" thickTop="1" thickBot="1" x14ac:dyDescent="0.3">
      <c r="E41" s="2" t="s">
        <v>26</v>
      </c>
      <c r="F41" s="3" t="s">
        <v>27</v>
      </c>
      <c r="G41" s="4" t="s">
        <v>28</v>
      </c>
    </row>
    <row r="42" spans="1:20" ht="48.75" customHeight="1" thickTop="1" x14ac:dyDescent="0.25">
      <c r="A42" s="2" t="s">
        <v>19</v>
      </c>
      <c r="B42" s="6">
        <f>+D39</f>
        <v>6525</v>
      </c>
      <c r="C42" s="7"/>
      <c r="E42" s="5">
        <v>200</v>
      </c>
      <c r="F42" s="6">
        <v>1</v>
      </c>
      <c r="G42" s="7">
        <f>+E42*F42</f>
        <v>200</v>
      </c>
    </row>
    <row r="43" spans="1:20" ht="46.5" customHeight="1" x14ac:dyDescent="0.25">
      <c r="A43" s="9" t="s">
        <v>20</v>
      </c>
      <c r="B43" s="6">
        <f>D8</f>
        <v>3785</v>
      </c>
      <c r="C43" s="7"/>
      <c r="E43" s="5">
        <v>100</v>
      </c>
      <c r="F43" s="6">
        <v>1</v>
      </c>
      <c r="G43" s="7">
        <f t="shared" ref="G43:G45" si="2">+E43*F43</f>
        <v>100</v>
      </c>
    </row>
    <row r="44" spans="1:20" ht="46.5" customHeight="1" x14ac:dyDescent="0.25">
      <c r="A44" s="9" t="s">
        <v>21</v>
      </c>
      <c r="B44" s="6">
        <f>F39</f>
        <v>2375</v>
      </c>
      <c r="C44" s="7"/>
      <c r="E44" s="5">
        <v>50</v>
      </c>
      <c r="F44" s="6">
        <v>1</v>
      </c>
      <c r="G44" s="7">
        <f t="shared" si="2"/>
        <v>50</v>
      </c>
    </row>
    <row r="45" spans="1:20" ht="51.75" customHeight="1" x14ac:dyDescent="0.25">
      <c r="A45" s="9" t="s">
        <v>22</v>
      </c>
      <c r="B45" s="11">
        <f>+B42-B43-B44</f>
        <v>365</v>
      </c>
      <c r="C45" s="12"/>
      <c r="E45" s="5">
        <v>20</v>
      </c>
      <c r="F45" s="6"/>
      <c r="G45" s="7">
        <f t="shared" si="2"/>
        <v>0</v>
      </c>
    </row>
    <row r="46" spans="1:20" ht="46.5" customHeight="1" x14ac:dyDescent="0.25">
      <c r="A46" s="9" t="s">
        <v>23</v>
      </c>
      <c r="B46" s="11">
        <f>G49</f>
        <v>365</v>
      </c>
      <c r="C46" s="12"/>
      <c r="D46" s="1"/>
      <c r="E46" s="5">
        <v>10</v>
      </c>
      <c r="F46" s="6">
        <v>1</v>
      </c>
      <c r="G46" s="7">
        <f>+E46*F46</f>
        <v>10</v>
      </c>
    </row>
    <row r="47" spans="1:20" ht="34.5" customHeight="1" x14ac:dyDescent="0.25">
      <c r="A47" s="9" t="s">
        <v>24</v>
      </c>
      <c r="B47" s="11">
        <f>IF(B45&lt;B46,B46-B45,0)</f>
        <v>0</v>
      </c>
      <c r="C47" s="12"/>
      <c r="E47" s="5">
        <v>5</v>
      </c>
      <c r="F47" s="6">
        <v>1</v>
      </c>
      <c r="G47" s="7">
        <f>+E47*F47</f>
        <v>5</v>
      </c>
    </row>
    <row r="48" spans="1:20" ht="36.75" customHeight="1" x14ac:dyDescent="0.25">
      <c r="A48" s="9" t="s">
        <v>7</v>
      </c>
      <c r="B48" s="11">
        <f>IF(B45&gt;B46,B45-B46,0)</f>
        <v>0</v>
      </c>
      <c r="C48" s="12"/>
      <c r="E48" s="5">
        <v>1</v>
      </c>
      <c r="F48" s="6"/>
      <c r="G48" s="7">
        <f>+E48*F48</f>
        <v>0</v>
      </c>
    </row>
    <row r="49" spans="1:7" ht="30" customHeight="1" thickBot="1" x14ac:dyDescent="0.35">
      <c r="A49" s="10" t="s">
        <v>29</v>
      </c>
      <c r="B49" s="13" t="b">
        <f>B45=B46</f>
        <v>1</v>
      </c>
      <c r="C49" s="14"/>
      <c r="E49" s="159" t="s">
        <v>25</v>
      </c>
      <c r="F49" s="160"/>
      <c r="G49" s="8">
        <f>SUM(G42:G48)</f>
        <v>365</v>
      </c>
    </row>
    <row r="50" spans="1:7" ht="15.75" thickTop="1" x14ac:dyDescent="0.25"/>
  </sheetData>
  <mergeCells count="3">
    <mergeCell ref="E49:F49"/>
    <mergeCell ref="E2:L2"/>
    <mergeCell ref="A39:C39"/>
  </mergeCells>
  <printOptions horizontalCentered="1" verticalCentered="1"/>
  <pageMargins left="0" right="0" top="0" bottom="0" header="0.31496062992125984" footer="0.31496062992125984"/>
  <pageSetup scale="42" orientation="landscape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0"/>
  <sheetViews>
    <sheetView rightToLeft="1" topLeftCell="A40" zoomScale="70" zoomScaleNormal="70" workbookViewId="0">
      <selection activeCell="E49" sqref="E49:F49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4.14062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6" bestFit="1" customWidth="1"/>
    <col min="16" max="16" width="15.85546875" bestFit="1" customWidth="1"/>
    <col min="18" max="18" width="15.85546875" bestFit="1" customWidth="1"/>
    <col min="19" max="19" width="14" customWidth="1"/>
    <col min="20" max="20" width="10.140625" customWidth="1"/>
  </cols>
  <sheetData>
    <row r="1" spans="1:20" ht="15.75" hidden="1" thickBot="1" x14ac:dyDescent="0.3"/>
    <row r="2" spans="1:20" ht="25.5" customHeight="1" thickBot="1" x14ac:dyDescent="0.3">
      <c r="A2" s="50" t="s">
        <v>0</v>
      </c>
      <c r="B2" s="51"/>
      <c r="C2" s="51"/>
      <c r="D2" s="52"/>
      <c r="E2" s="157">
        <f ca="1">TODAY()</f>
        <v>45118</v>
      </c>
      <c r="F2" s="158"/>
      <c r="G2" s="158"/>
      <c r="H2" s="158"/>
      <c r="I2" s="158"/>
      <c r="J2" s="158"/>
      <c r="K2" s="158"/>
      <c r="L2" s="158"/>
      <c r="M2" s="53"/>
      <c r="N2" s="53"/>
      <c r="O2" s="53"/>
      <c r="P2" s="53"/>
      <c r="Q2" s="53"/>
      <c r="R2" s="53"/>
      <c r="S2" s="53"/>
      <c r="T2" s="53"/>
    </row>
    <row r="3" spans="1:20" ht="36.75" customHeight="1" x14ac:dyDescent="0.25">
      <c r="A3" s="54" t="s">
        <v>4</v>
      </c>
      <c r="B3" s="54" t="s">
        <v>3</v>
      </c>
      <c r="C3" s="54" t="s">
        <v>1</v>
      </c>
      <c r="D3" s="54" t="s">
        <v>2</v>
      </c>
      <c r="E3" s="54" t="s">
        <v>1</v>
      </c>
      <c r="F3" s="54" t="s">
        <v>13</v>
      </c>
      <c r="G3" s="54" t="s">
        <v>5</v>
      </c>
      <c r="H3" s="57" t="s">
        <v>8</v>
      </c>
      <c r="I3" s="18" t="s">
        <v>9</v>
      </c>
      <c r="J3" s="18" t="s">
        <v>10</v>
      </c>
      <c r="K3" s="18" t="s">
        <v>11</v>
      </c>
      <c r="L3" s="18" t="s">
        <v>12</v>
      </c>
      <c r="M3" s="18" t="s">
        <v>31</v>
      </c>
      <c r="N3" s="18" t="s">
        <v>45</v>
      </c>
      <c r="O3" s="18" t="s">
        <v>32</v>
      </c>
      <c r="P3" s="18" t="s">
        <v>34</v>
      </c>
      <c r="Q3" s="18" t="s">
        <v>35</v>
      </c>
      <c r="R3" s="18" t="s">
        <v>39</v>
      </c>
      <c r="S3" s="18" t="s">
        <v>38</v>
      </c>
      <c r="T3" s="19" t="s">
        <v>40</v>
      </c>
    </row>
    <row r="4" spans="1:20" ht="25.5" customHeight="1" x14ac:dyDescent="0.25">
      <c r="A4" s="59">
        <v>45107</v>
      </c>
      <c r="B4" s="15"/>
      <c r="C4" s="15" t="s">
        <v>14</v>
      </c>
      <c r="D4" s="15">
        <v>557</v>
      </c>
      <c r="E4" s="15" t="s">
        <v>12</v>
      </c>
      <c r="F4" s="15">
        <f>SUM(G4:T4)</f>
        <v>90</v>
      </c>
      <c r="G4" s="15"/>
      <c r="H4" s="56"/>
      <c r="I4" s="15"/>
      <c r="J4" s="15"/>
      <c r="K4" s="15"/>
      <c r="L4" s="15">
        <v>90</v>
      </c>
      <c r="M4" s="15"/>
      <c r="N4" s="15"/>
      <c r="O4" s="15"/>
      <c r="P4" s="15"/>
      <c r="Q4" s="15"/>
      <c r="R4" s="15"/>
      <c r="S4" s="15"/>
      <c r="T4" s="15"/>
    </row>
    <row r="5" spans="1:20" ht="25.5" customHeight="1" x14ac:dyDescent="0.25">
      <c r="A5" s="59">
        <v>45107</v>
      </c>
      <c r="B5" s="15"/>
      <c r="C5" s="15" t="s">
        <v>15</v>
      </c>
      <c r="D5" s="15">
        <v>1959</v>
      </c>
      <c r="E5" s="15" t="s">
        <v>300</v>
      </c>
      <c r="F5" s="15">
        <f t="shared" ref="F5:F38" si="0">SUM(G5:T5)</f>
        <v>10</v>
      </c>
      <c r="G5" s="15"/>
      <c r="H5" s="56"/>
      <c r="I5" s="15"/>
      <c r="J5" s="15"/>
      <c r="K5" s="15"/>
      <c r="L5" s="15"/>
      <c r="M5" s="15"/>
      <c r="N5" s="15"/>
      <c r="O5" s="15"/>
      <c r="P5" s="15">
        <v>10</v>
      </c>
      <c r="Q5" s="15"/>
      <c r="R5" s="15"/>
      <c r="S5" s="15"/>
      <c r="T5" s="15"/>
    </row>
    <row r="6" spans="1:20" ht="25.5" customHeight="1" x14ac:dyDescent="0.25">
      <c r="A6" s="59">
        <v>45107</v>
      </c>
      <c r="B6" s="15"/>
      <c r="C6" s="15" t="s">
        <v>16</v>
      </c>
      <c r="D6" s="15">
        <v>0</v>
      </c>
      <c r="E6" s="15" t="s">
        <v>73</v>
      </c>
      <c r="F6" s="15">
        <f t="shared" ref="F6:F11" si="1">SUM(G6:T6)</f>
        <v>170</v>
      </c>
      <c r="G6" s="15">
        <v>170</v>
      </c>
      <c r="H6" s="56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</row>
    <row r="7" spans="1:20" ht="25.5" customHeight="1" x14ac:dyDescent="0.25">
      <c r="A7" s="59">
        <v>45107</v>
      </c>
      <c r="B7" s="15"/>
      <c r="C7" s="15" t="s">
        <v>17</v>
      </c>
      <c r="D7" s="15">
        <v>0</v>
      </c>
      <c r="E7" s="15" t="s">
        <v>74</v>
      </c>
      <c r="F7" s="15">
        <f t="shared" si="1"/>
        <v>160</v>
      </c>
      <c r="G7" s="15">
        <v>160</v>
      </c>
      <c r="H7" s="56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</row>
    <row r="8" spans="1:20" ht="25.5" customHeight="1" x14ac:dyDescent="0.25">
      <c r="A8" s="59">
        <v>45107</v>
      </c>
      <c r="B8" s="15"/>
      <c r="C8" s="15" t="s">
        <v>18</v>
      </c>
      <c r="D8" s="15">
        <f>1000+36</f>
        <v>1036</v>
      </c>
      <c r="E8" s="15" t="s">
        <v>117</v>
      </c>
      <c r="F8" s="15">
        <f t="shared" si="1"/>
        <v>150</v>
      </c>
      <c r="G8" s="15">
        <v>150</v>
      </c>
      <c r="H8" s="56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ht="25.5" customHeight="1" x14ac:dyDescent="0.25">
      <c r="A9" s="59">
        <v>45107</v>
      </c>
      <c r="B9" s="15"/>
      <c r="C9" s="15" t="s">
        <v>30</v>
      </c>
      <c r="D9" s="15">
        <v>0</v>
      </c>
      <c r="E9" s="15" t="s">
        <v>146</v>
      </c>
      <c r="F9" s="15">
        <f t="shared" si="1"/>
        <v>150</v>
      </c>
      <c r="G9" s="15">
        <v>150</v>
      </c>
      <c r="H9" s="56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</row>
    <row r="10" spans="1:20" ht="25.5" customHeight="1" x14ac:dyDescent="0.25">
      <c r="A10" s="59">
        <v>45107</v>
      </c>
      <c r="B10" s="15"/>
      <c r="C10" s="15" t="s">
        <v>46</v>
      </c>
      <c r="D10" s="15">
        <v>0</v>
      </c>
      <c r="E10" s="15" t="s">
        <v>79</v>
      </c>
      <c r="F10" s="15">
        <f t="shared" si="1"/>
        <v>50</v>
      </c>
      <c r="G10" s="15">
        <v>50</v>
      </c>
      <c r="H10" s="56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ht="25.5" customHeight="1" x14ac:dyDescent="0.25">
      <c r="A11" s="59">
        <v>45107</v>
      </c>
      <c r="B11" s="15"/>
      <c r="C11" s="15"/>
      <c r="D11" s="15"/>
      <c r="E11" s="15" t="s">
        <v>121</v>
      </c>
      <c r="F11" s="15">
        <f t="shared" si="1"/>
        <v>160</v>
      </c>
      <c r="G11" s="15">
        <v>160</v>
      </c>
      <c r="H11" s="56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</row>
    <row r="12" spans="1:20" ht="25.5" customHeight="1" x14ac:dyDescent="0.25">
      <c r="A12" s="59">
        <v>45107</v>
      </c>
      <c r="B12" s="15"/>
      <c r="C12" s="15"/>
      <c r="D12" s="15"/>
      <c r="E12" s="15" t="s">
        <v>81</v>
      </c>
      <c r="F12" s="15">
        <f t="shared" si="0"/>
        <v>200</v>
      </c>
      <c r="G12" s="15">
        <v>200</v>
      </c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</row>
    <row r="13" spans="1:20" ht="25.5" customHeight="1" x14ac:dyDescent="0.25">
      <c r="A13" s="59">
        <v>45107</v>
      </c>
      <c r="B13" s="15"/>
      <c r="C13" s="15"/>
      <c r="D13" s="15"/>
      <c r="E13" s="15" t="s">
        <v>77</v>
      </c>
      <c r="F13" s="15">
        <f t="shared" si="0"/>
        <v>100</v>
      </c>
      <c r="G13" s="15">
        <v>100</v>
      </c>
      <c r="H13" s="56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ht="25.5" customHeight="1" x14ac:dyDescent="0.25">
      <c r="A14" s="59">
        <v>45107</v>
      </c>
      <c r="B14" s="15"/>
      <c r="C14" s="15"/>
      <c r="D14" s="15"/>
      <c r="E14" s="15" t="s">
        <v>110</v>
      </c>
      <c r="F14" s="15">
        <f t="shared" si="0"/>
        <v>100</v>
      </c>
      <c r="G14" s="15">
        <v>100</v>
      </c>
      <c r="H14" s="56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ht="25.5" customHeight="1" x14ac:dyDescent="0.25">
      <c r="A15" s="59">
        <v>45107</v>
      </c>
      <c r="B15" s="15"/>
      <c r="C15" s="15"/>
      <c r="D15" s="15"/>
      <c r="E15" s="15" t="s">
        <v>84</v>
      </c>
      <c r="F15" s="15">
        <f t="shared" si="0"/>
        <v>170</v>
      </c>
      <c r="G15" s="56">
        <v>170</v>
      </c>
      <c r="H15" s="56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ht="25.5" customHeight="1" x14ac:dyDescent="0.25">
      <c r="A16" s="59">
        <v>45107</v>
      </c>
      <c r="B16" s="15"/>
      <c r="C16" s="15"/>
      <c r="D16" s="15"/>
      <c r="E16" s="15" t="s">
        <v>88</v>
      </c>
      <c r="F16" s="15">
        <f t="shared" si="0"/>
        <v>150</v>
      </c>
      <c r="G16" s="56">
        <v>150</v>
      </c>
      <c r="H16" s="56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</row>
    <row r="17" spans="1:20" ht="25.5" customHeight="1" x14ac:dyDescent="0.25">
      <c r="A17" s="59">
        <v>45107</v>
      </c>
      <c r="B17" s="15"/>
      <c r="C17" s="15"/>
      <c r="D17" s="15"/>
      <c r="E17" s="15" t="s">
        <v>314</v>
      </c>
      <c r="F17" s="15">
        <f t="shared" si="0"/>
        <v>150</v>
      </c>
      <c r="G17" s="56">
        <v>150</v>
      </c>
      <c r="H17" s="56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</row>
    <row r="18" spans="1:20" ht="25.5" customHeight="1" x14ac:dyDescent="0.25">
      <c r="A18" s="59">
        <v>45107</v>
      </c>
      <c r="B18" s="15"/>
      <c r="C18" s="15"/>
      <c r="D18" s="15"/>
      <c r="E18" s="15" t="s">
        <v>86</v>
      </c>
      <c r="F18" s="15">
        <f t="shared" si="0"/>
        <v>120</v>
      </c>
      <c r="G18" s="56">
        <v>120</v>
      </c>
      <c r="H18" s="56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ht="25.5" customHeight="1" x14ac:dyDescent="0.25">
      <c r="A19" s="59">
        <v>45107</v>
      </c>
      <c r="B19" s="15"/>
      <c r="C19" s="15"/>
      <c r="D19" s="15"/>
      <c r="E19" s="15" t="s">
        <v>80</v>
      </c>
      <c r="F19" s="15">
        <f t="shared" si="0"/>
        <v>50</v>
      </c>
      <c r="G19" s="56">
        <v>50</v>
      </c>
      <c r="H19" s="56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ht="25.5" customHeight="1" x14ac:dyDescent="0.25">
      <c r="A20" s="59">
        <v>45107</v>
      </c>
      <c r="B20" s="15"/>
      <c r="C20" s="15"/>
      <c r="D20" s="15"/>
      <c r="E20" s="15"/>
      <c r="F20" s="15">
        <f t="shared" si="0"/>
        <v>0</v>
      </c>
      <c r="G20" s="15"/>
      <c r="H20" s="56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ht="25.5" customHeight="1" x14ac:dyDescent="0.25">
      <c r="A21" s="59">
        <v>45107</v>
      </c>
      <c r="B21" s="15"/>
      <c r="C21" s="15"/>
      <c r="D21" s="15"/>
      <c r="E21" s="15"/>
      <c r="F21" s="56">
        <f t="shared" si="0"/>
        <v>0</v>
      </c>
      <c r="G21" s="15"/>
      <c r="H21" s="56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25.5" customHeight="1" x14ac:dyDescent="0.25">
      <c r="A22" s="59">
        <v>45107</v>
      </c>
      <c r="B22" s="15"/>
      <c r="C22" s="15"/>
      <c r="D22" s="15"/>
      <c r="E22" s="15"/>
      <c r="F22" s="56">
        <f t="shared" si="0"/>
        <v>0</v>
      </c>
      <c r="G22" s="15"/>
      <c r="H22" s="56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</row>
    <row r="23" spans="1:20" ht="25.5" customHeight="1" x14ac:dyDescent="0.25">
      <c r="A23" s="59">
        <v>45107</v>
      </c>
      <c r="B23" s="15"/>
      <c r="C23" s="15"/>
      <c r="D23" s="15"/>
      <c r="E23" s="15"/>
      <c r="F23" s="56">
        <f>SUM(G23:T23)</f>
        <v>0</v>
      </c>
      <c r="G23" s="15"/>
      <c r="H23" s="56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</row>
    <row r="24" spans="1:20" ht="25.5" customHeight="1" x14ac:dyDescent="0.25">
      <c r="A24" s="59">
        <v>45107</v>
      </c>
      <c r="B24" s="15"/>
      <c r="C24" s="15"/>
      <c r="D24" s="15"/>
      <c r="E24" s="15"/>
      <c r="F24" s="56">
        <f t="shared" si="0"/>
        <v>0</v>
      </c>
      <c r="G24" s="15"/>
      <c r="H24" s="56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</row>
    <row r="25" spans="1:20" ht="25.5" customHeight="1" x14ac:dyDescent="0.25">
      <c r="A25" s="59">
        <v>45107</v>
      </c>
      <c r="B25" s="15"/>
      <c r="C25" s="15"/>
      <c r="D25" s="15"/>
      <c r="E25" s="15"/>
      <c r="F25" s="56">
        <f t="shared" si="0"/>
        <v>0</v>
      </c>
      <c r="G25" s="15"/>
      <c r="H25" s="56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</row>
    <row r="26" spans="1:20" ht="25.5" customHeight="1" x14ac:dyDescent="0.25">
      <c r="A26" s="59">
        <v>45107</v>
      </c>
      <c r="B26" s="15"/>
      <c r="C26" s="15"/>
      <c r="D26" s="15"/>
      <c r="E26" s="15"/>
      <c r="F26" s="56">
        <f t="shared" si="0"/>
        <v>0</v>
      </c>
      <c r="G26" s="15"/>
      <c r="H26" s="56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</row>
    <row r="27" spans="1:20" ht="25.5" customHeight="1" x14ac:dyDescent="0.25">
      <c r="A27" s="59">
        <v>45107</v>
      </c>
      <c r="B27" s="15"/>
      <c r="C27" s="15"/>
      <c r="D27" s="15"/>
      <c r="E27" s="15"/>
      <c r="F27" s="15">
        <f t="shared" si="0"/>
        <v>0</v>
      </c>
      <c r="G27" s="15"/>
      <c r="H27" s="56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</row>
    <row r="28" spans="1:20" ht="25.5" customHeight="1" x14ac:dyDescent="0.25">
      <c r="A28" s="59">
        <v>45107</v>
      </c>
      <c r="B28" s="15"/>
      <c r="C28" s="15"/>
      <c r="D28" s="15"/>
      <c r="E28" s="15"/>
      <c r="F28" s="15">
        <f t="shared" si="0"/>
        <v>0</v>
      </c>
      <c r="G28" s="15"/>
      <c r="H28" s="56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</row>
    <row r="29" spans="1:20" ht="25.5" customHeight="1" x14ac:dyDescent="0.25">
      <c r="A29" s="59">
        <v>45107</v>
      </c>
      <c r="B29" s="15"/>
      <c r="C29" s="15"/>
      <c r="D29" s="15"/>
      <c r="E29" s="15"/>
      <c r="F29" s="15">
        <f t="shared" si="0"/>
        <v>0</v>
      </c>
      <c r="G29" s="15"/>
      <c r="H29" s="56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</row>
    <row r="30" spans="1:20" ht="25.5" customHeight="1" x14ac:dyDescent="0.25">
      <c r="A30" s="59">
        <v>45107</v>
      </c>
      <c r="B30" s="15"/>
      <c r="C30" s="15"/>
      <c r="D30" s="15"/>
      <c r="E30" s="15"/>
      <c r="F30" s="15">
        <f t="shared" si="0"/>
        <v>0</v>
      </c>
      <c r="G30" s="15"/>
      <c r="H30" s="56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</row>
    <row r="31" spans="1:20" ht="25.5" customHeight="1" x14ac:dyDescent="0.25">
      <c r="A31" s="59">
        <v>45107</v>
      </c>
      <c r="B31" s="15"/>
      <c r="C31" s="15"/>
      <c r="D31" s="15"/>
      <c r="E31" s="15"/>
      <c r="F31" s="15">
        <f t="shared" si="0"/>
        <v>0</v>
      </c>
      <c r="G31" s="15"/>
      <c r="H31" s="56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</row>
    <row r="32" spans="1:20" ht="25.5" customHeight="1" x14ac:dyDescent="0.25">
      <c r="A32" s="59">
        <v>45107</v>
      </c>
      <c r="B32" s="15"/>
      <c r="C32" s="15"/>
      <c r="D32" s="15"/>
      <c r="E32" s="15"/>
      <c r="F32" s="15">
        <f t="shared" si="0"/>
        <v>0</v>
      </c>
      <c r="G32" s="15"/>
      <c r="H32" s="56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</row>
    <row r="33" spans="1:20" ht="25.5" customHeight="1" x14ac:dyDescent="0.25">
      <c r="A33" s="59">
        <v>45107</v>
      </c>
      <c r="B33" s="15"/>
      <c r="C33" s="15"/>
      <c r="D33" s="15"/>
      <c r="E33" s="15"/>
      <c r="F33" s="15">
        <f t="shared" si="0"/>
        <v>0</v>
      </c>
      <c r="G33" s="15"/>
      <c r="H33" s="56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</row>
    <row r="34" spans="1:20" ht="25.5" customHeight="1" x14ac:dyDescent="0.25">
      <c r="A34" s="59">
        <v>45107</v>
      </c>
      <c r="B34" s="15"/>
      <c r="C34" s="15"/>
      <c r="D34" s="15"/>
      <c r="E34" s="15"/>
      <c r="F34" s="15">
        <f t="shared" si="0"/>
        <v>0</v>
      </c>
      <c r="G34" s="15"/>
      <c r="H34" s="56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</row>
    <row r="35" spans="1:20" ht="25.5" customHeight="1" x14ac:dyDescent="0.25">
      <c r="A35" s="59">
        <v>45107</v>
      </c>
      <c r="B35" s="15"/>
      <c r="C35" s="15"/>
      <c r="D35" s="15"/>
      <c r="E35" s="15"/>
      <c r="F35" s="15">
        <f t="shared" si="0"/>
        <v>0</v>
      </c>
      <c r="G35" s="15"/>
      <c r="H35" s="56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</row>
    <row r="36" spans="1:20" ht="25.5" customHeight="1" x14ac:dyDescent="0.25">
      <c r="A36" s="59">
        <v>45107</v>
      </c>
      <c r="B36" s="15"/>
      <c r="C36" s="15"/>
      <c r="D36" s="15"/>
      <c r="E36" s="15"/>
      <c r="F36" s="15">
        <f t="shared" si="0"/>
        <v>0</v>
      </c>
      <c r="G36" s="15"/>
      <c r="H36" s="56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</row>
    <row r="37" spans="1:20" ht="25.5" customHeight="1" x14ac:dyDescent="0.25">
      <c r="A37" s="59">
        <v>45107</v>
      </c>
      <c r="B37" s="15"/>
      <c r="C37" s="15"/>
      <c r="D37" s="15"/>
      <c r="E37" s="15"/>
      <c r="F37" s="15">
        <f t="shared" si="0"/>
        <v>0</v>
      </c>
      <c r="G37" s="15"/>
      <c r="H37" s="56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</row>
    <row r="38" spans="1:20" ht="25.5" customHeight="1" x14ac:dyDescent="0.25">
      <c r="A38" s="59">
        <v>45107</v>
      </c>
      <c r="B38" s="15"/>
      <c r="C38" s="15"/>
      <c r="D38" s="15"/>
      <c r="E38" s="15"/>
      <c r="F38" s="15">
        <f t="shared" si="0"/>
        <v>0</v>
      </c>
      <c r="G38" s="15"/>
      <c r="H38" s="56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</row>
    <row r="39" spans="1:20" ht="41.25" customHeight="1" x14ac:dyDescent="0.25">
      <c r="A39" s="161" t="s">
        <v>6</v>
      </c>
      <c r="B39" s="161"/>
      <c r="C39" s="161"/>
      <c r="D39" s="15">
        <f>SUM(D4:D38)</f>
        <v>3552</v>
      </c>
      <c r="E39" s="55"/>
      <c r="F39" s="15">
        <f>SUM(F4:F38)</f>
        <v>1980</v>
      </c>
      <c r="G39" s="15">
        <f t="shared" ref="G39:T39" si="2">SUM(G4:G38)</f>
        <v>1880</v>
      </c>
      <c r="H39" s="56">
        <f t="shared" si="2"/>
        <v>0</v>
      </c>
      <c r="I39" s="15">
        <f t="shared" si="2"/>
        <v>0</v>
      </c>
      <c r="J39" s="15">
        <f t="shared" si="2"/>
        <v>0</v>
      </c>
      <c r="K39" s="15">
        <f t="shared" si="2"/>
        <v>0</v>
      </c>
      <c r="L39" s="15">
        <f t="shared" si="2"/>
        <v>90</v>
      </c>
      <c r="M39" s="15">
        <f t="shared" si="2"/>
        <v>0</v>
      </c>
      <c r="N39" s="15">
        <f t="shared" si="2"/>
        <v>0</v>
      </c>
      <c r="O39" s="15">
        <f t="shared" si="2"/>
        <v>0</v>
      </c>
      <c r="P39" s="15">
        <f t="shared" si="2"/>
        <v>10</v>
      </c>
      <c r="Q39" s="15">
        <f t="shared" si="2"/>
        <v>0</v>
      </c>
      <c r="R39" s="15">
        <f t="shared" si="2"/>
        <v>0</v>
      </c>
      <c r="S39" s="15">
        <f t="shared" si="2"/>
        <v>0</v>
      </c>
      <c r="T39" s="15">
        <f t="shared" si="2"/>
        <v>0</v>
      </c>
    </row>
    <row r="40" spans="1:20" ht="15.75" thickBot="1" x14ac:dyDescent="0.3"/>
    <row r="41" spans="1:20" ht="30.75" customHeight="1" thickTop="1" thickBot="1" x14ac:dyDescent="0.3">
      <c r="E41" s="2" t="s">
        <v>26</v>
      </c>
      <c r="F41" s="3" t="s">
        <v>27</v>
      </c>
      <c r="G41" s="4" t="s">
        <v>28</v>
      </c>
    </row>
    <row r="42" spans="1:20" ht="48.75" customHeight="1" thickTop="1" x14ac:dyDescent="0.25">
      <c r="A42" s="2" t="s">
        <v>19</v>
      </c>
      <c r="B42" s="6">
        <f>+D39</f>
        <v>3552</v>
      </c>
      <c r="C42" s="7"/>
      <c r="E42" s="5">
        <v>200</v>
      </c>
      <c r="F42" s="6"/>
      <c r="G42" s="7">
        <f>+E42*F42</f>
        <v>0</v>
      </c>
    </row>
    <row r="43" spans="1:20" ht="46.5" customHeight="1" x14ac:dyDescent="0.25">
      <c r="A43" s="9" t="s">
        <v>20</v>
      </c>
      <c r="B43" s="6">
        <f>D8</f>
        <v>1036</v>
      </c>
      <c r="C43" s="7"/>
      <c r="E43" s="5">
        <v>100</v>
      </c>
      <c r="F43" s="6"/>
      <c r="G43" s="7">
        <f t="shared" ref="G43:G45" si="3">+E43*F43</f>
        <v>0</v>
      </c>
    </row>
    <row r="44" spans="1:20" ht="46.5" customHeight="1" x14ac:dyDescent="0.25">
      <c r="A44" s="9" t="s">
        <v>21</v>
      </c>
      <c r="B44" s="6">
        <f>F39</f>
        <v>1980</v>
      </c>
      <c r="C44" s="7"/>
      <c r="E44" s="5">
        <v>50</v>
      </c>
      <c r="F44" s="6"/>
      <c r="G44" s="7">
        <f t="shared" si="3"/>
        <v>0</v>
      </c>
    </row>
    <row r="45" spans="1:20" ht="51.75" customHeight="1" x14ac:dyDescent="0.25">
      <c r="A45" s="9" t="s">
        <v>22</v>
      </c>
      <c r="B45" s="11">
        <f>+B42-B43-B44</f>
        <v>536</v>
      </c>
      <c r="C45" s="12"/>
      <c r="E45" s="5">
        <v>20</v>
      </c>
      <c r="F45" s="6"/>
      <c r="G45" s="7">
        <f t="shared" si="3"/>
        <v>0</v>
      </c>
    </row>
    <row r="46" spans="1:20" ht="46.5" customHeight="1" x14ac:dyDescent="0.25">
      <c r="A46" s="9" t="s">
        <v>23</v>
      </c>
      <c r="B46" s="11">
        <f>G49</f>
        <v>617</v>
      </c>
      <c r="C46" s="12"/>
      <c r="D46" s="1"/>
      <c r="E46" s="5">
        <v>10</v>
      </c>
      <c r="F46" s="6"/>
      <c r="G46" s="7">
        <f>+E46*F46</f>
        <v>0</v>
      </c>
    </row>
    <row r="47" spans="1:20" ht="34.5" customHeight="1" x14ac:dyDescent="0.25">
      <c r="A47" s="9" t="s">
        <v>24</v>
      </c>
      <c r="B47" s="11">
        <f>IF(B45&lt;B46,B46-B45,0)</f>
        <v>81</v>
      </c>
      <c r="C47" s="12"/>
      <c r="E47" s="5">
        <v>5</v>
      </c>
      <c r="F47" s="6"/>
      <c r="G47" s="7">
        <f>+E47*F47</f>
        <v>0</v>
      </c>
    </row>
    <row r="48" spans="1:20" ht="36.75" customHeight="1" x14ac:dyDescent="0.25">
      <c r="A48" s="9" t="s">
        <v>7</v>
      </c>
      <c r="B48" s="11">
        <f>IF(B45&gt;B46,B45-B46,0)</f>
        <v>0</v>
      </c>
      <c r="C48" s="12"/>
      <c r="E48" s="5">
        <v>1</v>
      </c>
      <c r="F48" s="6">
        <v>617</v>
      </c>
      <c r="G48" s="7">
        <f>+E48*F48</f>
        <v>617</v>
      </c>
    </row>
    <row r="49" spans="1:7" ht="30" customHeight="1" thickBot="1" x14ac:dyDescent="0.35">
      <c r="A49" s="10" t="s">
        <v>29</v>
      </c>
      <c r="B49" s="13" t="b">
        <f>B45=B46</f>
        <v>0</v>
      </c>
      <c r="C49" s="14"/>
      <c r="E49" s="159" t="s">
        <v>25</v>
      </c>
      <c r="F49" s="160"/>
      <c r="G49" s="8">
        <f>SUM(G42:G48)</f>
        <v>617</v>
      </c>
    </row>
    <row r="50" spans="1:7" ht="15.75" thickTop="1" x14ac:dyDescent="0.25"/>
  </sheetData>
  <mergeCells count="3">
    <mergeCell ref="E49:F49"/>
    <mergeCell ref="E2:L2"/>
    <mergeCell ref="A39:C39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0"/>
  <sheetViews>
    <sheetView rightToLeft="1" topLeftCell="A50" workbookViewId="0">
      <selection activeCell="K13" sqref="K13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6.85546875" bestFit="1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6" bestFit="1" customWidth="1"/>
    <col min="16" max="16" width="15.7109375" bestFit="1" customWidth="1"/>
    <col min="18" max="18" width="15.85546875" bestFit="1" customWidth="1"/>
    <col min="19" max="19" width="14" customWidth="1"/>
    <col min="20" max="20" width="10.140625" customWidth="1"/>
  </cols>
  <sheetData>
    <row r="1" spans="1:20" ht="15.75" hidden="1" thickBot="1" x14ac:dyDescent="0.3"/>
    <row r="2" spans="1:20" ht="25.5" customHeight="1" thickBot="1" x14ac:dyDescent="0.3">
      <c r="A2" s="50" t="s">
        <v>0</v>
      </c>
      <c r="B2" s="51"/>
      <c r="C2" s="51"/>
      <c r="D2" s="52"/>
      <c r="E2" s="157">
        <f ca="1">TODAY()</f>
        <v>45118</v>
      </c>
      <c r="F2" s="158"/>
      <c r="G2" s="158"/>
      <c r="H2" s="158"/>
      <c r="I2" s="158"/>
      <c r="J2" s="158"/>
      <c r="K2" s="158"/>
      <c r="L2" s="158"/>
      <c r="M2" s="53"/>
      <c r="N2" s="53"/>
      <c r="O2" s="53"/>
      <c r="P2" s="53"/>
      <c r="Q2" s="53"/>
      <c r="R2" s="53"/>
      <c r="S2" s="53"/>
      <c r="T2" s="53"/>
    </row>
    <row r="3" spans="1:20" ht="36.75" customHeight="1" x14ac:dyDescent="0.25">
      <c r="A3" s="54" t="s">
        <v>4</v>
      </c>
      <c r="B3" s="54" t="s">
        <v>3</v>
      </c>
      <c r="C3" s="54" t="s">
        <v>1</v>
      </c>
      <c r="D3" s="54" t="s">
        <v>2</v>
      </c>
      <c r="E3" s="54" t="s">
        <v>1</v>
      </c>
      <c r="F3" s="54" t="s">
        <v>13</v>
      </c>
      <c r="G3" s="54" t="s">
        <v>5</v>
      </c>
      <c r="H3" s="57" t="s">
        <v>8</v>
      </c>
      <c r="I3" s="18" t="s">
        <v>9</v>
      </c>
      <c r="J3" s="18" t="s">
        <v>10</v>
      </c>
      <c r="K3" s="18" t="s">
        <v>11</v>
      </c>
      <c r="L3" s="18" t="s">
        <v>12</v>
      </c>
      <c r="M3" s="18" t="s">
        <v>31</v>
      </c>
      <c r="N3" s="18" t="s">
        <v>45</v>
      </c>
      <c r="O3" s="18" t="s">
        <v>32</v>
      </c>
      <c r="P3" s="18" t="s">
        <v>34</v>
      </c>
      <c r="Q3" s="18" t="s">
        <v>35</v>
      </c>
      <c r="R3" s="18" t="s">
        <v>39</v>
      </c>
      <c r="S3" s="18" t="s">
        <v>38</v>
      </c>
      <c r="T3" s="19" t="s">
        <v>40</v>
      </c>
    </row>
    <row r="4" spans="1:20" ht="25.5" customHeight="1" x14ac:dyDescent="0.25">
      <c r="A4" s="59"/>
      <c r="B4" s="15"/>
      <c r="C4" s="15" t="s">
        <v>14</v>
      </c>
      <c r="D4" s="15"/>
      <c r="E4" s="15"/>
      <c r="F4" s="15">
        <f>SUM(G4:T4)</f>
        <v>0</v>
      </c>
      <c r="G4" s="15"/>
      <c r="H4" s="56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</row>
    <row r="5" spans="1:20" ht="25.5" customHeight="1" x14ac:dyDescent="0.25">
      <c r="A5" s="59"/>
      <c r="B5" s="15"/>
      <c r="C5" s="15" t="s">
        <v>15</v>
      </c>
      <c r="D5" s="15"/>
      <c r="E5" s="15"/>
      <c r="F5" s="15">
        <f t="shared" ref="F5:F38" si="0">SUM(G5:T5)</f>
        <v>0</v>
      </c>
      <c r="G5" s="15"/>
      <c r="H5" s="56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</row>
    <row r="6" spans="1:20" ht="25.5" customHeight="1" x14ac:dyDescent="0.25">
      <c r="A6" s="59"/>
      <c r="B6" s="15"/>
      <c r="C6" s="15" t="s">
        <v>16</v>
      </c>
      <c r="D6" s="15"/>
      <c r="E6" s="15"/>
      <c r="F6" s="15">
        <f t="shared" si="0"/>
        <v>0</v>
      </c>
      <c r="G6" s="15"/>
      <c r="H6" s="56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</row>
    <row r="7" spans="1:20" ht="25.5" customHeight="1" x14ac:dyDescent="0.25">
      <c r="A7" s="59"/>
      <c r="B7" s="15"/>
      <c r="C7" s="15" t="s">
        <v>17</v>
      </c>
      <c r="D7" s="15"/>
      <c r="E7" s="15"/>
      <c r="F7" s="15">
        <f t="shared" si="0"/>
        <v>0</v>
      </c>
      <c r="G7" s="15"/>
      <c r="H7" s="56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</row>
    <row r="8" spans="1:20" ht="25.5" customHeight="1" x14ac:dyDescent="0.25">
      <c r="A8" s="59"/>
      <c r="B8" s="15"/>
      <c r="C8" s="15" t="s">
        <v>18</v>
      </c>
      <c r="D8" s="15"/>
      <c r="E8" s="15"/>
      <c r="F8" s="15">
        <f t="shared" si="0"/>
        <v>0</v>
      </c>
      <c r="G8" s="15"/>
      <c r="H8" s="56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ht="25.5" customHeight="1" x14ac:dyDescent="0.25">
      <c r="A9" s="59"/>
      <c r="B9" s="15"/>
      <c r="C9" s="15" t="s">
        <v>30</v>
      </c>
      <c r="D9" s="15"/>
      <c r="E9" s="15"/>
      <c r="F9" s="15">
        <f t="shared" si="0"/>
        <v>0</v>
      </c>
      <c r="G9" s="15"/>
      <c r="H9" s="56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</row>
    <row r="10" spans="1:20" ht="25.5" customHeight="1" x14ac:dyDescent="0.25">
      <c r="A10" s="59"/>
      <c r="B10" s="15"/>
      <c r="C10" s="15" t="s">
        <v>46</v>
      </c>
      <c r="D10" s="15"/>
      <c r="E10" s="15"/>
      <c r="F10" s="15">
        <f t="shared" si="0"/>
        <v>0</v>
      </c>
      <c r="G10" s="15"/>
      <c r="H10" s="56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ht="25.5" customHeight="1" x14ac:dyDescent="0.25">
      <c r="A11" s="59"/>
      <c r="B11" s="15"/>
      <c r="C11" s="15"/>
      <c r="D11" s="15"/>
      <c r="E11" s="15"/>
      <c r="F11" s="15">
        <f t="shared" si="0"/>
        <v>0</v>
      </c>
      <c r="G11" s="15"/>
      <c r="H11" s="56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</row>
    <row r="12" spans="1:20" ht="25.5" customHeight="1" x14ac:dyDescent="0.25">
      <c r="A12" s="59"/>
      <c r="B12" s="15"/>
      <c r="C12" s="15"/>
      <c r="D12" s="15"/>
      <c r="E12" s="15"/>
      <c r="F12" s="15">
        <f t="shared" si="0"/>
        <v>0</v>
      </c>
      <c r="G12" s="15"/>
      <c r="H12" s="56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</row>
    <row r="13" spans="1:20" ht="25.5" customHeight="1" x14ac:dyDescent="0.25">
      <c r="A13" s="59"/>
      <c r="B13" s="15"/>
      <c r="C13" s="15"/>
      <c r="D13" s="15"/>
      <c r="E13" s="15"/>
      <c r="F13" s="15">
        <f t="shared" si="0"/>
        <v>0</v>
      </c>
      <c r="G13" s="15"/>
      <c r="H13" s="56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ht="25.5" customHeight="1" x14ac:dyDescent="0.25">
      <c r="A14" s="59"/>
      <c r="B14" s="15"/>
      <c r="C14" s="15"/>
      <c r="D14" s="15"/>
      <c r="E14" s="15"/>
      <c r="F14" s="15">
        <f t="shared" si="0"/>
        <v>0</v>
      </c>
      <c r="G14" s="15"/>
      <c r="H14" s="56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ht="25.5" customHeight="1" x14ac:dyDescent="0.25">
      <c r="A15" s="59"/>
      <c r="B15" s="15"/>
      <c r="C15" s="15"/>
      <c r="D15" s="15"/>
      <c r="E15" s="15"/>
      <c r="F15" s="15">
        <f t="shared" si="0"/>
        <v>0</v>
      </c>
      <c r="G15" s="15"/>
      <c r="H15" s="56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ht="25.5" customHeight="1" x14ac:dyDescent="0.25">
      <c r="A16" s="59"/>
      <c r="B16" s="15"/>
      <c r="C16" s="15"/>
      <c r="D16" s="15"/>
      <c r="E16" s="15"/>
      <c r="F16" s="15">
        <f t="shared" si="0"/>
        <v>0</v>
      </c>
      <c r="G16" s="15"/>
      <c r="H16" s="56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</row>
    <row r="17" spans="1:20" ht="25.5" customHeight="1" x14ac:dyDescent="0.25">
      <c r="A17" s="59"/>
      <c r="B17" s="15"/>
      <c r="C17" s="15"/>
      <c r="D17" s="15"/>
      <c r="E17" s="15"/>
      <c r="F17" s="15">
        <f t="shared" si="0"/>
        <v>0</v>
      </c>
      <c r="G17" s="15"/>
      <c r="H17" s="56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</row>
    <row r="18" spans="1:20" ht="25.5" customHeight="1" x14ac:dyDescent="0.25">
      <c r="A18" s="59"/>
      <c r="B18" s="15"/>
      <c r="C18" s="15"/>
      <c r="D18" s="15"/>
      <c r="E18" s="15"/>
      <c r="F18" s="15">
        <f t="shared" si="0"/>
        <v>0</v>
      </c>
      <c r="G18" s="15"/>
      <c r="H18" s="56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ht="25.5" customHeight="1" x14ac:dyDescent="0.25">
      <c r="A19" s="59"/>
      <c r="B19" s="15"/>
      <c r="C19" s="15"/>
      <c r="D19" s="15"/>
      <c r="E19" s="15"/>
      <c r="F19" s="15">
        <f t="shared" si="0"/>
        <v>0</v>
      </c>
      <c r="G19" s="15"/>
      <c r="H19" s="56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ht="25.5" customHeight="1" x14ac:dyDescent="0.25">
      <c r="A20" s="59"/>
      <c r="B20" s="15"/>
      <c r="C20" s="15"/>
      <c r="D20" s="15"/>
      <c r="E20" s="15"/>
      <c r="F20" s="15">
        <f t="shared" si="0"/>
        <v>0</v>
      </c>
      <c r="G20" s="15"/>
      <c r="H20" s="56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ht="25.5" customHeight="1" x14ac:dyDescent="0.25">
      <c r="A21" s="59"/>
      <c r="B21" s="15"/>
      <c r="C21" s="15"/>
      <c r="D21" s="15"/>
      <c r="E21" s="15"/>
      <c r="F21" s="15">
        <f t="shared" si="0"/>
        <v>0</v>
      </c>
      <c r="G21" s="15"/>
      <c r="H21" s="56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25.5" customHeight="1" x14ac:dyDescent="0.25">
      <c r="A22" s="59"/>
      <c r="B22" s="15"/>
      <c r="C22" s="15"/>
      <c r="D22" s="15"/>
      <c r="E22" s="15"/>
      <c r="F22" s="15">
        <f t="shared" si="0"/>
        <v>0</v>
      </c>
      <c r="G22" s="15"/>
      <c r="H22" s="56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</row>
    <row r="23" spans="1:20" ht="25.5" customHeight="1" x14ac:dyDescent="0.25">
      <c r="A23" s="59"/>
      <c r="B23" s="15"/>
      <c r="C23" s="15"/>
      <c r="D23" s="15"/>
      <c r="E23" s="15"/>
      <c r="F23" s="15">
        <f t="shared" si="0"/>
        <v>0</v>
      </c>
      <c r="G23" s="15"/>
      <c r="H23" s="56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</row>
    <row r="24" spans="1:20" ht="25.5" customHeight="1" x14ac:dyDescent="0.25">
      <c r="A24" s="59"/>
      <c r="B24" s="15"/>
      <c r="C24" s="15"/>
      <c r="D24" s="15"/>
      <c r="E24" s="15"/>
      <c r="F24" s="15">
        <f t="shared" si="0"/>
        <v>0</v>
      </c>
      <c r="G24" s="15"/>
      <c r="H24" s="56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</row>
    <row r="25" spans="1:20" ht="25.5" customHeight="1" x14ac:dyDescent="0.25">
      <c r="A25" s="59"/>
      <c r="B25" s="15"/>
      <c r="C25" s="15"/>
      <c r="D25" s="15"/>
      <c r="E25" s="15"/>
      <c r="F25" s="15">
        <f t="shared" si="0"/>
        <v>0</v>
      </c>
      <c r="G25" s="15"/>
      <c r="H25" s="56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</row>
    <row r="26" spans="1:20" ht="25.5" customHeight="1" x14ac:dyDescent="0.25">
      <c r="A26" s="59"/>
      <c r="B26" s="15"/>
      <c r="C26" s="15"/>
      <c r="D26" s="15"/>
      <c r="E26" s="15"/>
      <c r="F26" s="15">
        <f t="shared" si="0"/>
        <v>0</v>
      </c>
      <c r="G26" s="15"/>
      <c r="H26" s="56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</row>
    <row r="27" spans="1:20" ht="25.5" customHeight="1" x14ac:dyDescent="0.25">
      <c r="A27" s="59"/>
      <c r="B27" s="15"/>
      <c r="C27" s="15"/>
      <c r="D27" s="15"/>
      <c r="E27" s="15"/>
      <c r="F27" s="15">
        <f t="shared" si="0"/>
        <v>0</v>
      </c>
      <c r="G27" s="15"/>
      <c r="H27" s="56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</row>
    <row r="28" spans="1:20" ht="25.5" customHeight="1" x14ac:dyDescent="0.25">
      <c r="A28" s="59"/>
      <c r="B28" s="15"/>
      <c r="C28" s="15"/>
      <c r="D28" s="15"/>
      <c r="E28" s="15"/>
      <c r="F28" s="15">
        <f t="shared" si="0"/>
        <v>0</v>
      </c>
      <c r="G28" s="15"/>
      <c r="H28" s="56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</row>
    <row r="29" spans="1:20" ht="25.5" customHeight="1" x14ac:dyDescent="0.25">
      <c r="A29" s="59"/>
      <c r="B29" s="15"/>
      <c r="C29" s="15"/>
      <c r="D29" s="15"/>
      <c r="E29" s="15"/>
      <c r="F29" s="15">
        <f t="shared" si="0"/>
        <v>0</v>
      </c>
      <c r="G29" s="15"/>
      <c r="H29" s="56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</row>
    <row r="30" spans="1:20" ht="25.5" customHeight="1" x14ac:dyDescent="0.25">
      <c r="A30" s="59"/>
      <c r="B30" s="15"/>
      <c r="C30" s="15"/>
      <c r="D30" s="15"/>
      <c r="E30" s="15"/>
      <c r="F30" s="15">
        <f t="shared" si="0"/>
        <v>0</v>
      </c>
      <c r="G30" s="15"/>
      <c r="H30" s="56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</row>
    <row r="31" spans="1:20" ht="25.5" customHeight="1" x14ac:dyDescent="0.25">
      <c r="A31" s="59"/>
      <c r="B31" s="15"/>
      <c r="C31" s="15"/>
      <c r="D31" s="15"/>
      <c r="E31" s="15"/>
      <c r="F31" s="15">
        <f t="shared" si="0"/>
        <v>0</v>
      </c>
      <c r="G31" s="15"/>
      <c r="H31" s="56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</row>
    <row r="32" spans="1:20" ht="25.5" customHeight="1" x14ac:dyDescent="0.25">
      <c r="A32" s="59"/>
      <c r="B32" s="15"/>
      <c r="C32" s="15"/>
      <c r="D32" s="15"/>
      <c r="E32" s="15"/>
      <c r="F32" s="15">
        <f t="shared" si="0"/>
        <v>0</v>
      </c>
      <c r="G32" s="15"/>
      <c r="H32" s="56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</row>
    <row r="33" spans="1:20" ht="25.5" customHeight="1" x14ac:dyDescent="0.25">
      <c r="A33" s="59"/>
      <c r="B33" s="15"/>
      <c r="C33" s="15"/>
      <c r="D33" s="15"/>
      <c r="E33" s="15"/>
      <c r="F33" s="15">
        <f t="shared" si="0"/>
        <v>0</v>
      </c>
      <c r="G33" s="15"/>
      <c r="H33" s="56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</row>
    <row r="34" spans="1:20" ht="25.5" customHeight="1" x14ac:dyDescent="0.25">
      <c r="A34" s="59"/>
      <c r="B34" s="15"/>
      <c r="C34" s="15"/>
      <c r="D34" s="15"/>
      <c r="E34" s="15"/>
      <c r="F34" s="15">
        <f t="shared" si="0"/>
        <v>0</v>
      </c>
      <c r="G34" s="15"/>
      <c r="H34" s="56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</row>
    <row r="35" spans="1:20" ht="25.5" customHeight="1" x14ac:dyDescent="0.25">
      <c r="A35" s="59"/>
      <c r="B35" s="15"/>
      <c r="C35" s="15"/>
      <c r="D35" s="15"/>
      <c r="E35" s="15"/>
      <c r="F35" s="15">
        <f t="shared" si="0"/>
        <v>0</v>
      </c>
      <c r="G35" s="15"/>
      <c r="H35" s="56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</row>
    <row r="36" spans="1:20" ht="25.5" customHeight="1" x14ac:dyDescent="0.25">
      <c r="A36" s="59"/>
      <c r="B36" s="15"/>
      <c r="C36" s="15"/>
      <c r="D36" s="15"/>
      <c r="E36" s="15"/>
      <c r="F36" s="15">
        <f t="shared" si="0"/>
        <v>0</v>
      </c>
      <c r="G36" s="15"/>
      <c r="H36" s="56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</row>
    <row r="37" spans="1:20" ht="25.5" customHeight="1" x14ac:dyDescent="0.25">
      <c r="A37" s="59"/>
      <c r="B37" s="15"/>
      <c r="C37" s="15"/>
      <c r="D37" s="15"/>
      <c r="E37" s="15"/>
      <c r="F37" s="15">
        <f t="shared" si="0"/>
        <v>0</v>
      </c>
      <c r="G37" s="15"/>
      <c r="H37" s="56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</row>
    <row r="38" spans="1:20" ht="25.5" customHeight="1" x14ac:dyDescent="0.25">
      <c r="A38" s="59"/>
      <c r="B38" s="15"/>
      <c r="C38" s="15"/>
      <c r="D38" s="15"/>
      <c r="E38" s="15"/>
      <c r="F38" s="15">
        <f t="shared" si="0"/>
        <v>0</v>
      </c>
      <c r="G38" s="15"/>
      <c r="H38" s="56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</row>
    <row r="39" spans="1:20" ht="41.25" customHeight="1" x14ac:dyDescent="0.25">
      <c r="A39" s="161" t="s">
        <v>6</v>
      </c>
      <c r="B39" s="161"/>
      <c r="C39" s="161"/>
      <c r="D39" s="15">
        <f>SUM(D4:D38)</f>
        <v>0</v>
      </c>
      <c r="E39" s="55"/>
      <c r="F39" s="15">
        <f>SUM(F4:F38)</f>
        <v>0</v>
      </c>
      <c r="G39" s="15">
        <f t="shared" ref="G39:T39" si="1">SUM(G4:G38)</f>
        <v>0</v>
      </c>
      <c r="H39" s="56">
        <f t="shared" si="1"/>
        <v>0</v>
      </c>
      <c r="I39" s="15">
        <f t="shared" si="1"/>
        <v>0</v>
      </c>
      <c r="J39" s="15">
        <f t="shared" si="1"/>
        <v>0</v>
      </c>
      <c r="K39" s="15">
        <f t="shared" si="1"/>
        <v>0</v>
      </c>
      <c r="L39" s="15">
        <f t="shared" si="1"/>
        <v>0</v>
      </c>
      <c r="M39" s="15">
        <f t="shared" si="1"/>
        <v>0</v>
      </c>
      <c r="N39" s="15">
        <f t="shared" si="1"/>
        <v>0</v>
      </c>
      <c r="O39" s="15">
        <f t="shared" si="1"/>
        <v>0</v>
      </c>
      <c r="P39" s="15">
        <f t="shared" si="1"/>
        <v>0</v>
      </c>
      <c r="Q39" s="15">
        <f t="shared" si="1"/>
        <v>0</v>
      </c>
      <c r="R39" s="15">
        <f t="shared" si="1"/>
        <v>0</v>
      </c>
      <c r="S39" s="15">
        <f t="shared" si="1"/>
        <v>0</v>
      </c>
      <c r="T39" s="15">
        <f t="shared" si="1"/>
        <v>0</v>
      </c>
    </row>
    <row r="40" spans="1:20" ht="15.75" thickBot="1" x14ac:dyDescent="0.3"/>
    <row r="41" spans="1:20" ht="30.75" customHeight="1" thickTop="1" thickBot="1" x14ac:dyDescent="0.3">
      <c r="E41" s="2" t="s">
        <v>26</v>
      </c>
      <c r="F41" s="3" t="s">
        <v>27</v>
      </c>
      <c r="G41" s="4" t="s">
        <v>28</v>
      </c>
    </row>
    <row r="42" spans="1:20" ht="48.75" customHeight="1" thickTop="1" x14ac:dyDescent="0.25">
      <c r="A42" s="2" t="s">
        <v>19</v>
      </c>
      <c r="B42" s="6">
        <f>+D39</f>
        <v>0</v>
      </c>
      <c r="C42" s="7"/>
      <c r="E42" s="5">
        <v>200</v>
      </c>
      <c r="F42" s="6"/>
      <c r="G42" s="7">
        <f>+E42*F42</f>
        <v>0</v>
      </c>
    </row>
    <row r="43" spans="1:20" ht="46.5" customHeight="1" x14ac:dyDescent="0.25">
      <c r="A43" s="9" t="s">
        <v>20</v>
      </c>
      <c r="B43" s="6">
        <f>D8</f>
        <v>0</v>
      </c>
      <c r="C43" s="7"/>
      <c r="E43" s="5">
        <v>100</v>
      </c>
      <c r="F43" s="6"/>
      <c r="G43" s="7">
        <f t="shared" ref="G43:G45" si="2">+E43*F43</f>
        <v>0</v>
      </c>
    </row>
    <row r="44" spans="1:20" ht="46.5" customHeight="1" x14ac:dyDescent="0.25">
      <c r="A44" s="9" t="s">
        <v>21</v>
      </c>
      <c r="B44" s="6">
        <f>F39</f>
        <v>0</v>
      </c>
      <c r="C44" s="7"/>
      <c r="E44" s="5">
        <v>50</v>
      </c>
      <c r="F44" s="6"/>
      <c r="G44" s="7">
        <f t="shared" si="2"/>
        <v>0</v>
      </c>
    </row>
    <row r="45" spans="1:20" ht="51.75" customHeight="1" x14ac:dyDescent="0.25">
      <c r="A45" s="9" t="s">
        <v>22</v>
      </c>
      <c r="B45" s="11">
        <f>+B42-B43-B44</f>
        <v>0</v>
      </c>
      <c r="C45" s="12"/>
      <c r="E45" s="5">
        <v>20</v>
      </c>
      <c r="F45" s="6"/>
      <c r="G45" s="7">
        <f t="shared" si="2"/>
        <v>0</v>
      </c>
    </row>
    <row r="46" spans="1:20" ht="46.5" customHeight="1" x14ac:dyDescent="0.25">
      <c r="A46" s="9" t="s">
        <v>23</v>
      </c>
      <c r="B46" s="11">
        <f>G49</f>
        <v>0</v>
      </c>
      <c r="C46" s="12"/>
      <c r="D46" s="1"/>
      <c r="E46" s="5">
        <v>10</v>
      </c>
      <c r="F46" s="6"/>
      <c r="G46" s="7">
        <f>+E46*F46</f>
        <v>0</v>
      </c>
    </row>
    <row r="47" spans="1:20" ht="34.5" customHeight="1" x14ac:dyDescent="0.25">
      <c r="A47" s="9" t="s">
        <v>24</v>
      </c>
      <c r="B47" s="11">
        <f>IF(B45&lt;B46,B46-B45,0)</f>
        <v>0</v>
      </c>
      <c r="C47" s="12"/>
      <c r="E47" s="5">
        <v>5</v>
      </c>
      <c r="F47" s="6"/>
      <c r="G47" s="7">
        <f>+E47*F47</f>
        <v>0</v>
      </c>
    </row>
    <row r="48" spans="1:20" ht="36.75" customHeight="1" x14ac:dyDescent="0.25">
      <c r="A48" s="9" t="s">
        <v>7</v>
      </c>
      <c r="B48" s="11">
        <f>IF(B45&gt;B46,B45-B46,0)</f>
        <v>0</v>
      </c>
      <c r="C48" s="12"/>
      <c r="E48" s="5">
        <v>1</v>
      </c>
      <c r="F48" s="6"/>
      <c r="G48" s="7">
        <f>+E48*F48</f>
        <v>0</v>
      </c>
    </row>
    <row r="49" spans="1:7" ht="30" customHeight="1" thickBot="1" x14ac:dyDescent="0.35">
      <c r="A49" s="10" t="s">
        <v>29</v>
      </c>
      <c r="B49" s="13" t="b">
        <f>B45=B46</f>
        <v>1</v>
      </c>
      <c r="C49" s="14"/>
      <c r="E49" s="159" t="s">
        <v>25</v>
      </c>
      <c r="F49" s="160"/>
      <c r="G49" s="8">
        <f>SUM(G42:G48)</f>
        <v>0</v>
      </c>
    </row>
    <row r="50" spans="1:7" ht="15.75" thickTop="1" x14ac:dyDescent="0.25"/>
  </sheetData>
  <mergeCells count="3">
    <mergeCell ref="E49:F49"/>
    <mergeCell ref="E2:L2"/>
    <mergeCell ref="A39:C39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40" orientation="landscape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0"/>
  <sheetViews>
    <sheetView rightToLeft="1" topLeftCell="A11" zoomScale="71" zoomScaleNormal="71" workbookViewId="0">
      <selection activeCell="K13" sqref="K13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4.14062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6" bestFit="1" customWidth="1"/>
    <col min="16" max="16" width="15.7109375" bestFit="1" customWidth="1"/>
    <col min="17" max="17" width="11" bestFit="1" customWidth="1"/>
    <col min="18" max="18" width="15.85546875" bestFit="1" customWidth="1"/>
    <col min="19" max="19" width="14" customWidth="1"/>
    <col min="20" max="20" width="10.140625" customWidth="1"/>
  </cols>
  <sheetData>
    <row r="1" spans="1:20" ht="15.75" hidden="1" thickBot="1" x14ac:dyDescent="0.3"/>
    <row r="2" spans="1:20" ht="25.5" customHeight="1" thickBot="1" x14ac:dyDescent="0.3">
      <c r="A2" s="50" t="s">
        <v>0</v>
      </c>
      <c r="B2" s="51"/>
      <c r="C2" s="51"/>
      <c r="D2" s="52"/>
      <c r="E2" s="157">
        <f ca="1">TODAY()</f>
        <v>45118</v>
      </c>
      <c r="F2" s="158"/>
      <c r="G2" s="158"/>
      <c r="H2" s="158"/>
      <c r="I2" s="158"/>
      <c r="J2" s="158"/>
      <c r="K2" s="158"/>
      <c r="L2" s="158"/>
      <c r="M2" s="53"/>
      <c r="N2" s="53"/>
      <c r="O2" s="53"/>
      <c r="P2" s="53"/>
      <c r="Q2" s="53"/>
      <c r="R2" s="53"/>
      <c r="S2" s="53"/>
      <c r="T2" s="53"/>
    </row>
    <row r="3" spans="1:20" ht="36.75" customHeight="1" x14ac:dyDescent="0.25">
      <c r="A3" s="54" t="s">
        <v>4</v>
      </c>
      <c r="B3" s="54" t="s">
        <v>3</v>
      </c>
      <c r="C3" s="54" t="s">
        <v>1</v>
      </c>
      <c r="D3" s="54" t="s">
        <v>2</v>
      </c>
      <c r="E3" s="54" t="s">
        <v>1</v>
      </c>
      <c r="F3" s="54" t="s">
        <v>13</v>
      </c>
      <c r="G3" s="54" t="s">
        <v>5</v>
      </c>
      <c r="H3" s="57" t="s">
        <v>8</v>
      </c>
      <c r="I3" s="18" t="s">
        <v>9</v>
      </c>
      <c r="J3" s="18" t="s">
        <v>10</v>
      </c>
      <c r="K3" s="18" t="s">
        <v>11</v>
      </c>
      <c r="L3" s="18" t="s">
        <v>12</v>
      </c>
      <c r="M3" s="18" t="s">
        <v>31</v>
      </c>
      <c r="N3" s="18" t="s">
        <v>45</v>
      </c>
      <c r="O3" s="18" t="s">
        <v>32</v>
      </c>
      <c r="P3" s="18" t="s">
        <v>34</v>
      </c>
      <c r="Q3" s="18" t="s">
        <v>35</v>
      </c>
      <c r="R3" s="18" t="s">
        <v>39</v>
      </c>
      <c r="S3" s="18" t="s">
        <v>38</v>
      </c>
      <c r="T3" s="19" t="s">
        <v>40</v>
      </c>
    </row>
    <row r="4" spans="1:20" ht="25.5" customHeight="1" x14ac:dyDescent="0.25">
      <c r="A4" s="59"/>
      <c r="B4" s="15"/>
      <c r="C4" s="15" t="s">
        <v>14</v>
      </c>
      <c r="D4" s="15"/>
      <c r="E4" s="15"/>
      <c r="F4" s="15">
        <f>SUM(G4:T4)</f>
        <v>0</v>
      </c>
      <c r="G4" s="15"/>
      <c r="H4" s="56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</row>
    <row r="5" spans="1:20" ht="25.5" customHeight="1" x14ac:dyDescent="0.25">
      <c r="A5" s="59"/>
      <c r="B5" s="15"/>
      <c r="C5" s="15" t="s">
        <v>15</v>
      </c>
      <c r="D5" s="15"/>
      <c r="E5" s="15"/>
      <c r="F5" s="15">
        <f t="shared" ref="F5:F38" si="0">SUM(G5:T5)</f>
        <v>0</v>
      </c>
      <c r="G5" s="15"/>
      <c r="H5" s="56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</row>
    <row r="6" spans="1:20" ht="25.5" customHeight="1" x14ac:dyDescent="0.25">
      <c r="A6" s="59"/>
      <c r="B6" s="15"/>
      <c r="C6" s="15" t="s">
        <v>16</v>
      </c>
      <c r="D6" s="15"/>
      <c r="E6" s="15"/>
      <c r="F6" s="15">
        <f t="shared" si="0"/>
        <v>0</v>
      </c>
      <c r="G6" s="15"/>
      <c r="H6" s="56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</row>
    <row r="7" spans="1:20" ht="25.5" customHeight="1" x14ac:dyDescent="0.25">
      <c r="A7" s="59"/>
      <c r="B7" s="15"/>
      <c r="C7" s="15" t="s">
        <v>17</v>
      </c>
      <c r="D7" s="15"/>
      <c r="E7" s="15"/>
      <c r="F7" s="15">
        <f t="shared" si="0"/>
        <v>0</v>
      </c>
      <c r="G7" s="15"/>
      <c r="H7" s="56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</row>
    <row r="8" spans="1:20" ht="25.5" customHeight="1" x14ac:dyDescent="0.25">
      <c r="A8" s="59"/>
      <c r="B8" s="15"/>
      <c r="C8" s="15" t="s">
        <v>18</v>
      </c>
      <c r="D8" s="15"/>
      <c r="E8" s="15"/>
      <c r="F8" s="15">
        <f t="shared" si="0"/>
        <v>0</v>
      </c>
      <c r="G8" s="15"/>
      <c r="H8" s="56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ht="25.5" customHeight="1" x14ac:dyDescent="0.25">
      <c r="A9" s="59"/>
      <c r="B9" s="15"/>
      <c r="C9" s="15" t="s">
        <v>30</v>
      </c>
      <c r="D9" s="15"/>
      <c r="E9" s="15"/>
      <c r="F9" s="15">
        <f t="shared" si="0"/>
        <v>0</v>
      </c>
      <c r="G9" s="15"/>
      <c r="H9" s="56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</row>
    <row r="10" spans="1:20" ht="25.5" customHeight="1" x14ac:dyDescent="0.25">
      <c r="A10" s="59"/>
      <c r="B10" s="15"/>
      <c r="C10" s="15" t="s">
        <v>46</v>
      </c>
      <c r="D10" s="15"/>
      <c r="E10" s="15"/>
      <c r="F10" s="15">
        <f t="shared" si="0"/>
        <v>0</v>
      </c>
      <c r="G10" s="15"/>
      <c r="H10" s="56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ht="25.5" customHeight="1" x14ac:dyDescent="0.25">
      <c r="A11" s="59"/>
      <c r="B11" s="15"/>
      <c r="C11" s="15"/>
      <c r="D11" s="15"/>
      <c r="E11" s="15"/>
      <c r="F11" s="15">
        <f t="shared" si="0"/>
        <v>0</v>
      </c>
      <c r="G11" s="15"/>
      <c r="H11" s="56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</row>
    <row r="12" spans="1:20" ht="25.5" customHeight="1" x14ac:dyDescent="0.25">
      <c r="A12" s="59"/>
      <c r="B12" s="15"/>
      <c r="C12" s="15"/>
      <c r="D12" s="15"/>
      <c r="E12" s="15"/>
      <c r="F12" s="15">
        <f t="shared" si="0"/>
        <v>0</v>
      </c>
      <c r="G12" s="15"/>
      <c r="H12" s="56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</row>
    <row r="13" spans="1:20" ht="25.5" customHeight="1" x14ac:dyDescent="0.25">
      <c r="A13" s="59"/>
      <c r="B13" s="15"/>
      <c r="C13" s="15"/>
      <c r="D13" s="15"/>
      <c r="E13" s="15"/>
      <c r="F13" s="15">
        <f t="shared" si="0"/>
        <v>0</v>
      </c>
      <c r="G13" s="15"/>
      <c r="H13" s="56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ht="25.5" customHeight="1" x14ac:dyDescent="0.25">
      <c r="A14" s="59"/>
      <c r="B14" s="15"/>
      <c r="C14" s="15"/>
      <c r="D14" s="15"/>
      <c r="E14" s="15"/>
      <c r="F14" s="15">
        <f t="shared" si="0"/>
        <v>0</v>
      </c>
      <c r="G14" s="15"/>
      <c r="H14" s="56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ht="25.5" customHeight="1" x14ac:dyDescent="0.25">
      <c r="A15" s="59"/>
      <c r="B15" s="15"/>
      <c r="C15" s="15"/>
      <c r="D15" s="15"/>
      <c r="E15" s="15"/>
      <c r="F15" s="15">
        <f t="shared" si="0"/>
        <v>0</v>
      </c>
      <c r="G15" s="15"/>
      <c r="H15" s="56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ht="25.5" customHeight="1" x14ac:dyDescent="0.25">
      <c r="A16" s="59"/>
      <c r="B16" s="15"/>
      <c r="C16" s="15"/>
      <c r="D16" s="15"/>
      <c r="E16" s="15"/>
      <c r="F16" s="15">
        <f t="shared" si="0"/>
        <v>0</v>
      </c>
      <c r="G16" s="15"/>
      <c r="H16" s="56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</row>
    <row r="17" spans="1:20" ht="25.5" customHeight="1" x14ac:dyDescent="0.25">
      <c r="A17" s="59"/>
      <c r="B17" s="15"/>
      <c r="C17" s="15"/>
      <c r="D17" s="15"/>
      <c r="E17" s="15"/>
      <c r="F17" s="15">
        <f t="shared" si="0"/>
        <v>0</v>
      </c>
      <c r="G17" s="15"/>
      <c r="H17" s="56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</row>
    <row r="18" spans="1:20" ht="25.5" customHeight="1" x14ac:dyDescent="0.25">
      <c r="A18" s="59"/>
      <c r="B18" s="15"/>
      <c r="C18" s="15"/>
      <c r="D18" s="15"/>
      <c r="E18" s="15"/>
      <c r="F18" s="15">
        <f t="shared" si="0"/>
        <v>0</v>
      </c>
      <c r="G18" s="15"/>
      <c r="H18" s="56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ht="25.5" customHeight="1" x14ac:dyDescent="0.25">
      <c r="A19" s="59"/>
      <c r="B19" s="15"/>
      <c r="C19" s="15"/>
      <c r="D19" s="15"/>
      <c r="E19" s="15"/>
      <c r="F19" s="15">
        <f t="shared" si="0"/>
        <v>0</v>
      </c>
      <c r="G19" s="15"/>
      <c r="H19" s="56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ht="25.5" customHeight="1" x14ac:dyDescent="0.25">
      <c r="A20" s="59"/>
      <c r="B20" s="15"/>
      <c r="C20" s="15"/>
      <c r="D20" s="15"/>
      <c r="E20" s="15"/>
      <c r="F20" s="15">
        <f t="shared" si="0"/>
        <v>0</v>
      </c>
      <c r="G20" s="15"/>
      <c r="H20" s="56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ht="25.5" customHeight="1" x14ac:dyDescent="0.25">
      <c r="A21" s="59"/>
      <c r="B21" s="15"/>
      <c r="C21" s="15"/>
      <c r="D21" s="15"/>
      <c r="E21" s="15"/>
      <c r="F21" s="15">
        <f t="shared" si="0"/>
        <v>0</v>
      </c>
      <c r="G21" s="15"/>
      <c r="H21" s="56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25.5" customHeight="1" x14ac:dyDescent="0.25">
      <c r="A22" s="59"/>
      <c r="B22" s="15"/>
      <c r="C22" s="15"/>
      <c r="D22" s="15"/>
      <c r="E22" s="15"/>
      <c r="F22" s="15">
        <f t="shared" si="0"/>
        <v>0</v>
      </c>
      <c r="G22" s="15"/>
      <c r="H22" s="56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</row>
    <row r="23" spans="1:20" ht="25.5" customHeight="1" x14ac:dyDescent="0.25">
      <c r="A23" s="59"/>
      <c r="B23" s="15"/>
      <c r="C23" s="15"/>
      <c r="D23" s="15"/>
      <c r="E23" s="15"/>
      <c r="F23" s="15">
        <f t="shared" si="0"/>
        <v>0</v>
      </c>
      <c r="G23" s="15"/>
      <c r="H23" s="56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</row>
    <row r="24" spans="1:20" ht="25.5" customHeight="1" x14ac:dyDescent="0.25">
      <c r="A24" s="59"/>
      <c r="B24" s="15"/>
      <c r="C24" s="15"/>
      <c r="D24" s="15"/>
      <c r="E24" s="15"/>
      <c r="F24" s="15">
        <f t="shared" si="0"/>
        <v>0</v>
      </c>
      <c r="G24" s="15"/>
      <c r="H24" s="56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</row>
    <row r="25" spans="1:20" ht="25.5" customHeight="1" x14ac:dyDescent="0.25">
      <c r="A25" s="59"/>
      <c r="B25" s="15"/>
      <c r="C25" s="15"/>
      <c r="D25" s="15"/>
      <c r="E25" s="15"/>
      <c r="F25" s="15">
        <f t="shared" si="0"/>
        <v>0</v>
      </c>
      <c r="G25" s="15"/>
      <c r="H25" s="56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</row>
    <row r="26" spans="1:20" ht="25.5" customHeight="1" x14ac:dyDescent="0.25">
      <c r="A26" s="59"/>
      <c r="B26" s="15"/>
      <c r="C26" s="15"/>
      <c r="D26" s="15"/>
      <c r="E26" s="15"/>
      <c r="F26" s="15">
        <f t="shared" si="0"/>
        <v>0</v>
      </c>
      <c r="G26" s="15"/>
      <c r="H26" s="56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</row>
    <row r="27" spans="1:20" ht="25.5" customHeight="1" x14ac:dyDescent="0.25">
      <c r="A27" s="59"/>
      <c r="B27" s="15"/>
      <c r="C27" s="15"/>
      <c r="D27" s="15"/>
      <c r="E27" s="15"/>
      <c r="F27" s="15">
        <f t="shared" si="0"/>
        <v>0</v>
      </c>
      <c r="G27" s="15"/>
      <c r="H27" s="56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</row>
    <row r="28" spans="1:20" ht="25.5" customHeight="1" x14ac:dyDescent="0.25">
      <c r="A28" s="59"/>
      <c r="B28" s="15"/>
      <c r="C28" s="15"/>
      <c r="D28" s="15"/>
      <c r="E28" s="15"/>
      <c r="F28" s="15">
        <f t="shared" si="0"/>
        <v>0</v>
      </c>
      <c r="G28" s="15"/>
      <c r="H28" s="56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</row>
    <row r="29" spans="1:20" ht="25.5" customHeight="1" x14ac:dyDescent="0.25">
      <c r="A29" s="59"/>
      <c r="B29" s="15"/>
      <c r="C29" s="15"/>
      <c r="D29" s="15"/>
      <c r="E29" s="15"/>
      <c r="F29" s="15">
        <f t="shared" si="0"/>
        <v>0</v>
      </c>
      <c r="G29" s="15"/>
      <c r="H29" s="56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</row>
    <row r="30" spans="1:20" ht="25.5" customHeight="1" x14ac:dyDescent="0.25">
      <c r="A30" s="59"/>
      <c r="B30" s="15"/>
      <c r="C30" s="15"/>
      <c r="D30" s="15"/>
      <c r="E30" s="15"/>
      <c r="F30" s="15">
        <f t="shared" si="0"/>
        <v>0</v>
      </c>
      <c r="G30" s="15"/>
      <c r="H30" s="56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</row>
    <row r="31" spans="1:20" ht="25.5" customHeight="1" x14ac:dyDescent="0.25">
      <c r="A31" s="59"/>
      <c r="B31" s="15"/>
      <c r="C31" s="15"/>
      <c r="D31" s="15"/>
      <c r="E31" s="15"/>
      <c r="F31" s="15">
        <f t="shared" si="0"/>
        <v>0</v>
      </c>
      <c r="G31" s="15"/>
      <c r="H31" s="56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</row>
    <row r="32" spans="1:20" ht="25.5" customHeight="1" x14ac:dyDescent="0.25">
      <c r="A32" s="59"/>
      <c r="B32" s="15"/>
      <c r="C32" s="15"/>
      <c r="D32" s="15"/>
      <c r="E32" s="15"/>
      <c r="F32" s="15">
        <f t="shared" si="0"/>
        <v>0</v>
      </c>
      <c r="G32" s="15"/>
      <c r="H32" s="56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</row>
    <row r="33" spans="1:20" ht="25.5" customHeight="1" x14ac:dyDescent="0.25">
      <c r="A33" s="59"/>
      <c r="B33" s="15"/>
      <c r="C33" s="15"/>
      <c r="D33" s="15"/>
      <c r="E33" s="15"/>
      <c r="F33" s="15">
        <f t="shared" si="0"/>
        <v>0</v>
      </c>
      <c r="G33" s="15"/>
      <c r="H33" s="56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</row>
    <row r="34" spans="1:20" ht="25.5" customHeight="1" x14ac:dyDescent="0.25">
      <c r="A34" s="59"/>
      <c r="B34" s="15"/>
      <c r="C34" s="15"/>
      <c r="D34" s="15"/>
      <c r="E34" s="15"/>
      <c r="F34" s="15">
        <f t="shared" si="0"/>
        <v>0</v>
      </c>
      <c r="G34" s="15"/>
      <c r="H34" s="56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</row>
    <row r="35" spans="1:20" ht="25.5" customHeight="1" x14ac:dyDescent="0.25">
      <c r="A35" s="59"/>
      <c r="B35" s="15"/>
      <c r="C35" s="15"/>
      <c r="D35" s="15"/>
      <c r="E35" s="15"/>
      <c r="F35" s="15">
        <f t="shared" si="0"/>
        <v>0</v>
      </c>
      <c r="G35" s="15"/>
      <c r="H35" s="56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</row>
    <row r="36" spans="1:20" ht="25.5" customHeight="1" x14ac:dyDescent="0.25">
      <c r="A36" s="59"/>
      <c r="B36" s="15"/>
      <c r="C36" s="15"/>
      <c r="D36" s="15"/>
      <c r="E36" s="15"/>
      <c r="F36" s="15">
        <f t="shared" si="0"/>
        <v>0</v>
      </c>
      <c r="G36" s="15"/>
      <c r="H36" s="56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</row>
    <row r="37" spans="1:20" ht="25.5" customHeight="1" x14ac:dyDescent="0.25">
      <c r="A37" s="59"/>
      <c r="B37" s="15"/>
      <c r="C37" s="15"/>
      <c r="D37" s="15"/>
      <c r="E37" s="15"/>
      <c r="F37" s="15">
        <f t="shared" si="0"/>
        <v>0</v>
      </c>
      <c r="G37" s="15"/>
      <c r="H37" s="56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</row>
    <row r="38" spans="1:20" ht="25.5" customHeight="1" x14ac:dyDescent="0.25">
      <c r="A38" s="59"/>
      <c r="B38" s="15"/>
      <c r="C38" s="15"/>
      <c r="D38" s="15"/>
      <c r="E38" s="15"/>
      <c r="F38" s="15">
        <f t="shared" si="0"/>
        <v>0</v>
      </c>
      <c r="G38" s="15"/>
      <c r="H38" s="56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</row>
    <row r="39" spans="1:20" ht="41.25" customHeight="1" x14ac:dyDescent="0.25">
      <c r="A39" s="161" t="s">
        <v>6</v>
      </c>
      <c r="B39" s="161"/>
      <c r="C39" s="161"/>
      <c r="D39" s="15">
        <f>SUM(D4:D38)</f>
        <v>0</v>
      </c>
      <c r="E39" s="55"/>
      <c r="F39" s="15">
        <f>SUM(F4:F38)</f>
        <v>0</v>
      </c>
      <c r="G39" s="15">
        <f t="shared" ref="G39:T39" si="1">SUM(G4:G38)</f>
        <v>0</v>
      </c>
      <c r="H39" s="56">
        <f t="shared" si="1"/>
        <v>0</v>
      </c>
      <c r="I39" s="15">
        <f t="shared" si="1"/>
        <v>0</v>
      </c>
      <c r="J39" s="15">
        <f t="shared" si="1"/>
        <v>0</v>
      </c>
      <c r="K39" s="15">
        <f t="shared" si="1"/>
        <v>0</v>
      </c>
      <c r="L39" s="15">
        <f t="shared" si="1"/>
        <v>0</v>
      </c>
      <c r="M39" s="15">
        <f t="shared" si="1"/>
        <v>0</v>
      </c>
      <c r="N39" s="15">
        <f t="shared" si="1"/>
        <v>0</v>
      </c>
      <c r="O39" s="15">
        <f t="shared" si="1"/>
        <v>0</v>
      </c>
      <c r="P39" s="15">
        <f t="shared" si="1"/>
        <v>0</v>
      </c>
      <c r="Q39" s="15">
        <f t="shared" si="1"/>
        <v>0</v>
      </c>
      <c r="R39" s="15">
        <f t="shared" si="1"/>
        <v>0</v>
      </c>
      <c r="S39" s="15">
        <f t="shared" si="1"/>
        <v>0</v>
      </c>
      <c r="T39" s="15">
        <f t="shared" si="1"/>
        <v>0</v>
      </c>
    </row>
    <row r="40" spans="1:20" ht="15.75" thickBot="1" x14ac:dyDescent="0.3"/>
    <row r="41" spans="1:20" ht="30.75" customHeight="1" thickTop="1" thickBot="1" x14ac:dyDescent="0.3">
      <c r="E41" s="2" t="s">
        <v>26</v>
      </c>
      <c r="F41" s="3" t="s">
        <v>27</v>
      </c>
      <c r="G41" s="4" t="s">
        <v>28</v>
      </c>
    </row>
    <row r="42" spans="1:20" ht="48.75" customHeight="1" thickTop="1" x14ac:dyDescent="0.25">
      <c r="A42" s="2" t="s">
        <v>19</v>
      </c>
      <c r="B42" s="6">
        <f>+D39</f>
        <v>0</v>
      </c>
      <c r="C42" s="7"/>
      <c r="E42" s="5">
        <v>200</v>
      </c>
      <c r="F42" s="6"/>
      <c r="G42" s="7">
        <f>+E42*F42</f>
        <v>0</v>
      </c>
    </row>
    <row r="43" spans="1:20" ht="46.5" customHeight="1" x14ac:dyDescent="0.25">
      <c r="A43" s="9" t="s">
        <v>20</v>
      </c>
      <c r="B43" s="6">
        <f>D8</f>
        <v>0</v>
      </c>
      <c r="C43" s="7"/>
      <c r="E43" s="5">
        <v>100</v>
      </c>
      <c r="F43" s="6"/>
      <c r="G43" s="7">
        <f t="shared" ref="G43:G45" si="2">+E43*F43</f>
        <v>0</v>
      </c>
    </row>
    <row r="44" spans="1:20" ht="46.5" customHeight="1" x14ac:dyDescent="0.25">
      <c r="A44" s="9" t="s">
        <v>21</v>
      </c>
      <c r="B44" s="6">
        <f>F39</f>
        <v>0</v>
      </c>
      <c r="C44" s="7"/>
      <c r="E44" s="5">
        <v>50</v>
      </c>
      <c r="F44" s="6"/>
      <c r="G44" s="7">
        <f t="shared" si="2"/>
        <v>0</v>
      </c>
    </row>
    <row r="45" spans="1:20" ht="51.75" customHeight="1" x14ac:dyDescent="0.25">
      <c r="A45" s="9" t="s">
        <v>22</v>
      </c>
      <c r="B45" s="11">
        <f>+B42-B43-B44</f>
        <v>0</v>
      </c>
      <c r="C45" s="12"/>
      <c r="E45" s="5">
        <v>20</v>
      </c>
      <c r="F45" s="6"/>
      <c r="G45" s="7">
        <f t="shared" si="2"/>
        <v>0</v>
      </c>
    </row>
    <row r="46" spans="1:20" ht="46.5" customHeight="1" x14ac:dyDescent="0.25">
      <c r="A46" s="9" t="s">
        <v>23</v>
      </c>
      <c r="B46" s="11">
        <f>G49</f>
        <v>0</v>
      </c>
      <c r="C46" s="12"/>
      <c r="D46" s="1"/>
      <c r="E46" s="5">
        <v>10</v>
      </c>
      <c r="F46" s="6"/>
      <c r="G46" s="7">
        <f>+E46*F46</f>
        <v>0</v>
      </c>
    </row>
    <row r="47" spans="1:20" ht="34.5" customHeight="1" x14ac:dyDescent="0.25">
      <c r="A47" s="9" t="s">
        <v>24</v>
      </c>
      <c r="B47" s="11">
        <f>IF(B45&lt;B46,B46-B45,0)</f>
        <v>0</v>
      </c>
      <c r="C47" s="12"/>
      <c r="E47" s="5">
        <v>5</v>
      </c>
      <c r="F47" s="6"/>
      <c r="G47" s="7">
        <f>+E47*F47</f>
        <v>0</v>
      </c>
    </row>
    <row r="48" spans="1:20" ht="36.75" customHeight="1" x14ac:dyDescent="0.25">
      <c r="A48" s="9" t="s">
        <v>7</v>
      </c>
      <c r="B48" s="11">
        <f>IF(B45&gt;B46,B45-B46,0)</f>
        <v>0</v>
      </c>
      <c r="C48" s="12"/>
      <c r="E48" s="5">
        <v>1</v>
      </c>
      <c r="F48" s="6"/>
      <c r="G48" s="7">
        <f>+E48*F48</f>
        <v>0</v>
      </c>
    </row>
    <row r="49" spans="1:7" ht="30" customHeight="1" thickBot="1" x14ac:dyDescent="0.35">
      <c r="A49" s="10" t="s">
        <v>29</v>
      </c>
      <c r="B49" s="13" t="b">
        <f>B45=B46</f>
        <v>1</v>
      </c>
      <c r="C49" s="14"/>
      <c r="E49" s="159" t="s">
        <v>25</v>
      </c>
      <c r="F49" s="160"/>
      <c r="G49" s="8">
        <f>SUM(G42:G48)</f>
        <v>0</v>
      </c>
    </row>
    <row r="50" spans="1:7" ht="15.75" thickTop="1" x14ac:dyDescent="0.25"/>
  </sheetData>
  <mergeCells count="3">
    <mergeCell ref="E49:F49"/>
    <mergeCell ref="E2:L2"/>
    <mergeCell ref="A39:C39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41" orientation="landscape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96"/>
  <sheetViews>
    <sheetView rightToLeft="1" topLeftCell="A71" zoomScale="60" zoomScaleNormal="60" workbookViewId="0">
      <selection activeCell="G71" sqref="G71"/>
    </sheetView>
  </sheetViews>
  <sheetFormatPr defaultColWidth="35.140625" defaultRowHeight="21" x14ac:dyDescent="0.35"/>
  <cols>
    <col min="1" max="16384" width="35.140625" style="135"/>
  </cols>
  <sheetData>
    <row r="1" spans="1:20" ht="21.75" hidden="1" thickBot="1" x14ac:dyDescent="0.4"/>
    <row r="2" spans="1:20" ht="70.5" customHeight="1" thickBot="1" x14ac:dyDescent="0.4">
      <c r="A2" s="180" t="s">
        <v>0</v>
      </c>
      <c r="B2" s="181"/>
      <c r="C2" s="181"/>
      <c r="D2" s="182"/>
      <c r="E2" s="175">
        <f ca="1">TODAY()</f>
        <v>45118</v>
      </c>
      <c r="F2" s="176"/>
      <c r="G2" s="176"/>
      <c r="H2" s="176"/>
      <c r="I2" s="176"/>
      <c r="J2" s="176"/>
      <c r="K2" s="176"/>
      <c r="L2" s="176"/>
      <c r="M2" s="124"/>
      <c r="N2" s="124"/>
      <c r="O2" s="124"/>
      <c r="P2" s="124"/>
      <c r="Q2" s="124"/>
      <c r="R2" s="124"/>
      <c r="S2" s="124"/>
      <c r="T2" s="124"/>
    </row>
    <row r="3" spans="1:20" ht="60.75" customHeight="1" thickBot="1" x14ac:dyDescent="0.4">
      <c r="A3" s="125" t="s">
        <v>4</v>
      </c>
      <c r="B3" s="125" t="s">
        <v>3</v>
      </c>
      <c r="C3" s="125" t="s">
        <v>1</v>
      </c>
      <c r="D3" s="125" t="s">
        <v>2</v>
      </c>
      <c r="E3" s="125" t="s">
        <v>1</v>
      </c>
      <c r="F3" s="125" t="s">
        <v>13</v>
      </c>
      <c r="G3" s="125" t="s">
        <v>5</v>
      </c>
      <c r="H3" s="126" t="s">
        <v>8</v>
      </c>
      <c r="I3" s="127" t="s">
        <v>9</v>
      </c>
      <c r="J3" s="127" t="s">
        <v>10</v>
      </c>
      <c r="K3" s="127" t="s">
        <v>11</v>
      </c>
      <c r="L3" s="127" t="s">
        <v>12</v>
      </c>
      <c r="M3" s="127" t="s">
        <v>31</v>
      </c>
      <c r="N3" s="127" t="s">
        <v>45</v>
      </c>
      <c r="O3" s="127" t="s">
        <v>32</v>
      </c>
      <c r="P3" s="127" t="s">
        <v>34</v>
      </c>
      <c r="Q3" s="127" t="s">
        <v>35</v>
      </c>
      <c r="R3" s="127" t="s">
        <v>39</v>
      </c>
      <c r="S3" s="127" t="s">
        <v>38</v>
      </c>
      <c r="T3" s="128" t="s">
        <v>40</v>
      </c>
    </row>
    <row r="4" spans="1:20" ht="25.5" customHeight="1" thickTop="1" x14ac:dyDescent="0.35">
      <c r="A4" s="129"/>
      <c r="B4" s="130"/>
      <c r="C4" s="130" t="s">
        <v>14</v>
      </c>
      <c r="D4" s="130">
        <f>SUM('1:31'!D4)</f>
        <v>25891</v>
      </c>
      <c r="E4" s="130"/>
      <c r="F4" s="130">
        <f>SUM('1:31'!F4)</f>
        <v>2260</v>
      </c>
      <c r="G4" s="130">
        <f>SUM('1:31'!G4)</f>
        <v>0</v>
      </c>
      <c r="H4" s="131">
        <f>SUM('1:31'!H4)</f>
        <v>871</v>
      </c>
      <c r="I4" s="132">
        <f>SUM('1:31'!I4)</f>
        <v>0</v>
      </c>
      <c r="J4" s="132">
        <f>SUM('1:31'!J4)</f>
        <v>0</v>
      </c>
      <c r="K4" s="132">
        <f>SUM('1:31'!K4)</f>
        <v>0</v>
      </c>
      <c r="L4" s="132">
        <f>SUM('1:31'!L4)</f>
        <v>650</v>
      </c>
      <c r="M4" s="132">
        <f>SUM('1:31'!M4)</f>
        <v>40</v>
      </c>
      <c r="N4" s="132">
        <f>SUM('1:31'!N4)</f>
        <v>130</v>
      </c>
      <c r="O4" s="132">
        <f>SUM('1:31'!O4)</f>
        <v>0</v>
      </c>
      <c r="P4" s="132">
        <f>SUM('1:31'!P4)</f>
        <v>15</v>
      </c>
      <c r="Q4" s="132">
        <f>SUM('1:31'!Q4)</f>
        <v>0</v>
      </c>
      <c r="R4" s="132">
        <f>SUM('1:31'!R4)</f>
        <v>500</v>
      </c>
      <c r="S4" s="132">
        <f>SUM('1:31'!S4)</f>
        <v>0</v>
      </c>
      <c r="T4" s="132">
        <f>SUM('1:31'!T4)</f>
        <v>0</v>
      </c>
    </row>
    <row r="5" spans="1:20" ht="25.5" customHeight="1" x14ac:dyDescent="0.35">
      <c r="A5" s="129"/>
      <c r="B5" s="130"/>
      <c r="C5" s="130" t="s">
        <v>15</v>
      </c>
      <c r="D5" s="130">
        <f>SUM('1:31'!D5)</f>
        <v>76103</v>
      </c>
      <c r="E5" s="130"/>
      <c r="F5" s="130">
        <f>SUM('1:31'!F5)</f>
        <v>2934</v>
      </c>
      <c r="G5" s="130">
        <f>SUM('1:31'!G5)</f>
        <v>300</v>
      </c>
      <c r="H5" s="131">
        <f>SUM('1:31'!H5)</f>
        <v>340</v>
      </c>
      <c r="I5" s="132">
        <f>SUM('1:31'!I5)</f>
        <v>0</v>
      </c>
      <c r="J5" s="132">
        <f>SUM('1:31'!J5)</f>
        <v>0</v>
      </c>
      <c r="K5" s="132">
        <f>SUM('1:31'!K5)</f>
        <v>0</v>
      </c>
      <c r="L5" s="132">
        <f>SUM('1:31'!L5)</f>
        <v>1685</v>
      </c>
      <c r="M5" s="132">
        <f>SUM('1:31'!M5)</f>
        <v>0</v>
      </c>
      <c r="N5" s="132">
        <f>SUM('1:31'!N5)</f>
        <v>0</v>
      </c>
      <c r="O5" s="132">
        <f>SUM('1:31'!O5)</f>
        <v>9</v>
      </c>
      <c r="P5" s="132">
        <f>SUM('1:31'!P5)</f>
        <v>100</v>
      </c>
      <c r="Q5" s="132">
        <f>SUM('1:31'!Q5)</f>
        <v>0</v>
      </c>
      <c r="R5" s="132">
        <f>SUM('1:31'!R5)</f>
        <v>500</v>
      </c>
      <c r="S5" s="132">
        <f>SUM('1:31'!S5)</f>
        <v>0</v>
      </c>
      <c r="T5" s="132">
        <f>SUM('1:31'!T5)</f>
        <v>0</v>
      </c>
    </row>
    <row r="6" spans="1:20" ht="25.5" customHeight="1" x14ac:dyDescent="0.35">
      <c r="A6" s="129"/>
      <c r="B6" s="130"/>
      <c r="C6" s="130" t="s">
        <v>16</v>
      </c>
      <c r="D6" s="130">
        <f>SUM('1:31'!D6)</f>
        <v>0</v>
      </c>
      <c r="E6" s="130"/>
      <c r="F6" s="130">
        <f>SUM('1:31'!F6)</f>
        <v>4753</v>
      </c>
      <c r="G6" s="130">
        <f>SUM('1:31'!G6)</f>
        <v>330</v>
      </c>
      <c r="H6" s="131">
        <f>SUM('1:31'!H6)</f>
        <v>40</v>
      </c>
      <c r="I6" s="132">
        <f>SUM('1:31'!I6)</f>
        <v>0</v>
      </c>
      <c r="J6" s="132">
        <f>SUM('1:31'!J6)</f>
        <v>0</v>
      </c>
      <c r="K6" s="132">
        <f>SUM('1:31'!K6)</f>
        <v>0</v>
      </c>
      <c r="L6" s="132">
        <f>SUM('1:31'!L6)</f>
        <v>1483</v>
      </c>
      <c r="M6" s="132">
        <f>SUM('1:31'!M6)</f>
        <v>100</v>
      </c>
      <c r="N6" s="132">
        <f>SUM('1:31'!N6)</f>
        <v>225</v>
      </c>
      <c r="O6" s="132">
        <f>SUM('1:31'!O6)</f>
        <v>0</v>
      </c>
      <c r="P6" s="132">
        <f>SUM('1:31'!P6)</f>
        <v>180</v>
      </c>
      <c r="Q6" s="132">
        <f>SUM('1:31'!Q6)</f>
        <v>0</v>
      </c>
      <c r="R6" s="132">
        <f>SUM('1:31'!R6)</f>
        <v>1100</v>
      </c>
      <c r="S6" s="132">
        <f>SUM('1:31'!S6)</f>
        <v>0</v>
      </c>
      <c r="T6" s="132">
        <f>SUM('1:31'!T6)</f>
        <v>1295</v>
      </c>
    </row>
    <row r="7" spans="1:20" ht="25.5" customHeight="1" x14ac:dyDescent="0.35">
      <c r="A7" s="129"/>
      <c r="B7" s="130"/>
      <c r="C7" s="130" t="s">
        <v>17</v>
      </c>
      <c r="D7" s="130">
        <f>SUM('1:31'!D7)</f>
        <v>7060</v>
      </c>
      <c r="E7" s="130"/>
      <c r="F7" s="130">
        <f>SUM('1:31'!F7)</f>
        <v>4212</v>
      </c>
      <c r="G7" s="130">
        <f>SUM('1:31'!G7)</f>
        <v>490</v>
      </c>
      <c r="H7" s="131">
        <f>SUM('1:31'!H7)</f>
        <v>17</v>
      </c>
      <c r="I7" s="132">
        <f>SUM('1:31'!I7)</f>
        <v>0</v>
      </c>
      <c r="J7" s="132">
        <f>SUM('1:31'!J7)</f>
        <v>0</v>
      </c>
      <c r="K7" s="132">
        <f>SUM('1:31'!K7)</f>
        <v>0</v>
      </c>
      <c r="L7" s="132">
        <f>SUM('1:31'!L7)</f>
        <v>810</v>
      </c>
      <c r="M7" s="132">
        <f>SUM('1:31'!M7)</f>
        <v>40</v>
      </c>
      <c r="N7" s="132">
        <f>SUM('1:31'!N7)</f>
        <v>170</v>
      </c>
      <c r="O7" s="132">
        <f>SUM('1:31'!O7)</f>
        <v>0</v>
      </c>
      <c r="P7" s="132">
        <f>SUM('1:31'!P7)</f>
        <v>65</v>
      </c>
      <c r="Q7" s="132">
        <f>SUM('1:31'!Q7)</f>
        <v>0</v>
      </c>
      <c r="R7" s="132">
        <f>SUM('1:31'!R7)</f>
        <v>1100</v>
      </c>
      <c r="S7" s="132">
        <f>SUM('1:31'!S7)</f>
        <v>40</v>
      </c>
      <c r="T7" s="132">
        <f>SUM('1:31'!T7)</f>
        <v>1480</v>
      </c>
    </row>
    <row r="8" spans="1:20" ht="25.5" customHeight="1" x14ac:dyDescent="0.35">
      <c r="A8" s="129"/>
      <c r="B8" s="130"/>
      <c r="C8" s="130" t="s">
        <v>18</v>
      </c>
      <c r="D8" s="130">
        <f>SUM('1:31'!D8)</f>
        <v>50884</v>
      </c>
      <c r="E8" s="130"/>
      <c r="F8" s="130">
        <f>SUM('1:31'!F8)</f>
        <v>5116</v>
      </c>
      <c r="G8" s="130">
        <f>SUM('1:31'!G8)</f>
        <v>940</v>
      </c>
      <c r="H8" s="131">
        <f>SUM('1:31'!H8)</f>
        <v>33</v>
      </c>
      <c r="I8" s="132">
        <f>SUM('1:31'!I8)</f>
        <v>0</v>
      </c>
      <c r="J8" s="132">
        <f>SUM('1:31'!J8)</f>
        <v>0</v>
      </c>
      <c r="K8" s="132">
        <f>SUM('1:31'!K8)</f>
        <v>0</v>
      </c>
      <c r="L8" s="132">
        <f>SUM('1:31'!L8)</f>
        <v>0</v>
      </c>
      <c r="M8" s="132">
        <f>SUM('1:31'!M8)</f>
        <v>90</v>
      </c>
      <c r="N8" s="132">
        <f>SUM('1:31'!N8)</f>
        <v>163</v>
      </c>
      <c r="O8" s="132">
        <f>SUM('1:31'!O8)</f>
        <v>0</v>
      </c>
      <c r="P8" s="132">
        <f>SUM('1:31'!P8)</f>
        <v>60</v>
      </c>
      <c r="Q8" s="132">
        <f>SUM('1:31'!Q8)</f>
        <v>0</v>
      </c>
      <c r="R8" s="132">
        <f>SUM('1:31'!R8)</f>
        <v>500</v>
      </c>
      <c r="S8" s="132">
        <f>SUM('1:31'!S8)</f>
        <v>0</v>
      </c>
      <c r="T8" s="132">
        <f>SUM('1:31'!T8)</f>
        <v>3330</v>
      </c>
    </row>
    <row r="9" spans="1:20" ht="25.5" customHeight="1" x14ac:dyDescent="0.35">
      <c r="A9" s="129"/>
      <c r="B9" s="130"/>
      <c r="C9" s="130" t="s">
        <v>30</v>
      </c>
      <c r="D9" s="130">
        <f>SUM('1:31'!D9)</f>
        <v>-29</v>
      </c>
      <c r="E9" s="130"/>
      <c r="F9" s="130">
        <f>SUM('1:31'!F9)</f>
        <v>3582</v>
      </c>
      <c r="G9" s="130">
        <f>SUM('1:31'!G9)</f>
        <v>1370</v>
      </c>
      <c r="H9" s="131">
        <f>SUM('1:31'!H9)</f>
        <v>0</v>
      </c>
      <c r="I9" s="132">
        <f>SUM('1:31'!I9)</f>
        <v>0</v>
      </c>
      <c r="J9" s="132">
        <f>SUM('1:31'!J9)</f>
        <v>0</v>
      </c>
      <c r="K9" s="132">
        <f>SUM('1:31'!K9)</f>
        <v>0</v>
      </c>
      <c r="L9" s="132">
        <f>SUM('1:31'!L9)</f>
        <v>135</v>
      </c>
      <c r="M9" s="132">
        <f>SUM('1:31'!M9)</f>
        <v>20</v>
      </c>
      <c r="N9" s="132">
        <f>SUM('1:31'!N9)</f>
        <v>287</v>
      </c>
      <c r="O9" s="132">
        <f>SUM('1:31'!O9)</f>
        <v>0</v>
      </c>
      <c r="P9" s="132">
        <f>SUM('1:31'!P9)</f>
        <v>60</v>
      </c>
      <c r="Q9" s="132">
        <f>SUM('1:31'!Q9)</f>
        <v>0</v>
      </c>
      <c r="R9" s="132">
        <f>SUM('1:31'!R9)</f>
        <v>600</v>
      </c>
      <c r="S9" s="132">
        <f>SUM('1:31'!S9)</f>
        <v>0</v>
      </c>
      <c r="T9" s="132">
        <f>SUM('1:31'!T9)</f>
        <v>1110</v>
      </c>
    </row>
    <row r="10" spans="1:20" ht="25.5" customHeight="1" x14ac:dyDescent="0.35">
      <c r="A10" s="129"/>
      <c r="B10" s="130"/>
      <c r="C10" s="130" t="s">
        <v>46</v>
      </c>
      <c r="D10" s="130">
        <f>SUM('1:31'!D10)</f>
        <v>0</v>
      </c>
      <c r="E10" s="130"/>
      <c r="F10" s="130">
        <f>SUM('1:31'!F10)</f>
        <v>3071</v>
      </c>
      <c r="G10" s="130">
        <f>SUM('1:31'!G10)</f>
        <v>1880</v>
      </c>
      <c r="H10" s="131">
        <f>SUM('1:31'!H10)</f>
        <v>0</v>
      </c>
      <c r="I10" s="132">
        <f>SUM('1:31'!I10)</f>
        <v>0</v>
      </c>
      <c r="J10" s="132">
        <f>SUM('1:31'!J10)</f>
        <v>0</v>
      </c>
      <c r="K10" s="132">
        <f>SUM('1:31'!K10)</f>
        <v>0</v>
      </c>
      <c r="L10" s="132">
        <f>SUM('1:31'!L10)</f>
        <v>290</v>
      </c>
      <c r="M10" s="132">
        <f>SUM('1:31'!M10)</f>
        <v>40</v>
      </c>
      <c r="N10" s="132">
        <f>SUM('1:31'!N10)</f>
        <v>276</v>
      </c>
      <c r="O10" s="132">
        <f>SUM('1:31'!O10)</f>
        <v>0</v>
      </c>
      <c r="P10" s="132">
        <f>SUM('1:31'!P10)</f>
        <v>20</v>
      </c>
      <c r="Q10" s="132">
        <f>SUM('1:31'!Q10)</f>
        <v>0</v>
      </c>
      <c r="R10" s="132">
        <f>SUM('1:31'!R10)</f>
        <v>0</v>
      </c>
      <c r="S10" s="132">
        <f>SUM('1:31'!S10)</f>
        <v>195</v>
      </c>
      <c r="T10" s="132">
        <f>SUM('1:31'!T10)</f>
        <v>370</v>
      </c>
    </row>
    <row r="11" spans="1:20" ht="25.5" customHeight="1" x14ac:dyDescent="0.35">
      <c r="A11" s="129"/>
      <c r="B11" s="130"/>
      <c r="C11" s="130"/>
      <c r="D11" s="130">
        <f>SUM('1:31'!D11)</f>
        <v>0</v>
      </c>
      <c r="E11" s="130"/>
      <c r="F11" s="130">
        <f>SUM('1:31'!F11)</f>
        <v>4202</v>
      </c>
      <c r="G11" s="130">
        <f>SUM('1:31'!G11)</f>
        <v>2670</v>
      </c>
      <c r="H11" s="131">
        <f>SUM('1:31'!H11)</f>
        <v>65</v>
      </c>
      <c r="I11" s="132">
        <f>SUM('1:31'!I11)</f>
        <v>0</v>
      </c>
      <c r="J11" s="132">
        <f>SUM('1:31'!J11)</f>
        <v>0</v>
      </c>
      <c r="K11" s="132">
        <f>SUM('1:31'!K11)</f>
        <v>0</v>
      </c>
      <c r="L11" s="132">
        <f>SUM('1:31'!L11)</f>
        <v>0</v>
      </c>
      <c r="M11" s="132">
        <f>SUM('1:31'!M11)</f>
        <v>0</v>
      </c>
      <c r="N11" s="132">
        <f>SUM('1:31'!N11)</f>
        <v>157</v>
      </c>
      <c r="O11" s="132">
        <f>SUM('1:31'!O11)</f>
        <v>0</v>
      </c>
      <c r="P11" s="132">
        <f>SUM('1:31'!P11)</f>
        <v>0</v>
      </c>
      <c r="Q11" s="132">
        <f>SUM('1:31'!Q11)</f>
        <v>0</v>
      </c>
      <c r="R11" s="132">
        <f>SUM('1:31'!R11)</f>
        <v>200</v>
      </c>
      <c r="S11" s="132">
        <f>SUM('1:31'!S11)</f>
        <v>0</v>
      </c>
      <c r="T11" s="132">
        <f>SUM('1:31'!T11)</f>
        <v>1110</v>
      </c>
    </row>
    <row r="12" spans="1:20" ht="25.5" customHeight="1" x14ac:dyDescent="0.35">
      <c r="A12" s="129"/>
      <c r="B12" s="130"/>
      <c r="C12" s="130"/>
      <c r="D12" s="130">
        <f>SUM('1:31'!D12)</f>
        <v>0</v>
      </c>
      <c r="E12" s="130"/>
      <c r="F12" s="130">
        <f>SUM('1:31'!F12)</f>
        <v>3334.5</v>
      </c>
      <c r="G12" s="130">
        <f>SUM('1:31'!G12)</f>
        <v>3135</v>
      </c>
      <c r="H12" s="131">
        <f>SUM('1:31'!H12)</f>
        <v>0</v>
      </c>
      <c r="I12" s="132">
        <f>SUM('1:31'!I12)</f>
        <v>0</v>
      </c>
      <c r="J12" s="132">
        <f>SUM('1:31'!J12)</f>
        <v>0</v>
      </c>
      <c r="K12" s="132">
        <f>SUM('1:31'!K12)</f>
        <v>0</v>
      </c>
      <c r="L12" s="132">
        <f>SUM('1:31'!L12)</f>
        <v>0</v>
      </c>
      <c r="M12" s="132">
        <f>SUM('1:31'!M12)</f>
        <v>0</v>
      </c>
      <c r="N12" s="132">
        <f>SUM('1:31'!N12)</f>
        <v>144.5</v>
      </c>
      <c r="O12" s="132">
        <f>SUM('1:31'!O12)</f>
        <v>0</v>
      </c>
      <c r="P12" s="132">
        <f>SUM('1:31'!P12)</f>
        <v>10</v>
      </c>
      <c r="Q12" s="132">
        <f>SUM('1:31'!Q12)</f>
        <v>0</v>
      </c>
      <c r="R12" s="132">
        <f>SUM('1:31'!R12)</f>
        <v>0</v>
      </c>
      <c r="S12" s="132">
        <f>SUM('1:31'!S12)</f>
        <v>45</v>
      </c>
      <c r="T12" s="132">
        <f>SUM('1:31'!T12)</f>
        <v>0</v>
      </c>
    </row>
    <row r="13" spans="1:20" ht="25.5" customHeight="1" x14ac:dyDescent="0.35">
      <c r="A13" s="129"/>
      <c r="B13" s="130"/>
      <c r="C13" s="130"/>
      <c r="D13" s="130">
        <f>SUM('1:31'!D13)</f>
        <v>0</v>
      </c>
      <c r="E13" s="130"/>
      <c r="F13" s="130">
        <f>SUM('1:31'!F13)</f>
        <v>3856.25</v>
      </c>
      <c r="G13" s="130">
        <f>SUM('1:31'!G13)</f>
        <v>3230</v>
      </c>
      <c r="H13" s="131">
        <f>SUM('1:31'!H13)</f>
        <v>0</v>
      </c>
      <c r="I13" s="132">
        <f>SUM('1:31'!I13)</f>
        <v>0</v>
      </c>
      <c r="J13" s="132">
        <f>SUM('1:31'!J13)</f>
        <v>0</v>
      </c>
      <c r="K13" s="132">
        <f>SUM('1:31'!K13)</f>
        <v>0</v>
      </c>
      <c r="L13" s="132">
        <f>SUM('1:31'!L13)</f>
        <v>0</v>
      </c>
      <c r="M13" s="132">
        <f>SUM('1:31'!M13)</f>
        <v>0</v>
      </c>
      <c r="N13" s="132">
        <f>SUM('1:31'!N13)</f>
        <v>21.25</v>
      </c>
      <c r="O13" s="132">
        <f>SUM('1:31'!O13)</f>
        <v>0</v>
      </c>
      <c r="P13" s="132">
        <f>SUM('1:31'!P13)</f>
        <v>50</v>
      </c>
      <c r="Q13" s="132">
        <f>SUM('1:31'!Q13)</f>
        <v>0</v>
      </c>
      <c r="R13" s="132">
        <f>SUM('1:31'!R13)</f>
        <v>0</v>
      </c>
      <c r="S13" s="132">
        <f>SUM('1:31'!S13)</f>
        <v>0</v>
      </c>
      <c r="T13" s="132">
        <f>SUM('1:31'!T13)</f>
        <v>555</v>
      </c>
    </row>
    <row r="14" spans="1:20" ht="25.5" customHeight="1" x14ac:dyDescent="0.35">
      <c r="A14" s="129"/>
      <c r="B14" s="130"/>
      <c r="C14" s="130"/>
      <c r="D14" s="130">
        <f>SUM('1:31'!D14)</f>
        <v>0</v>
      </c>
      <c r="E14" s="130"/>
      <c r="F14" s="130">
        <f>SUM('1:31'!F14)</f>
        <v>3855</v>
      </c>
      <c r="G14" s="130">
        <f>SUM('1:31'!G14)</f>
        <v>3250</v>
      </c>
      <c r="H14" s="131">
        <f>SUM('1:31'!H14)</f>
        <v>0</v>
      </c>
      <c r="I14" s="132">
        <f>SUM('1:31'!I14)</f>
        <v>0</v>
      </c>
      <c r="J14" s="132">
        <f>SUM('1:31'!J14)</f>
        <v>0</v>
      </c>
      <c r="K14" s="132">
        <f>SUM('1:31'!K14)</f>
        <v>0</v>
      </c>
      <c r="L14" s="132">
        <f>SUM('1:31'!L14)</f>
        <v>0</v>
      </c>
      <c r="M14" s="132">
        <f>SUM('1:31'!M14)</f>
        <v>10</v>
      </c>
      <c r="N14" s="132">
        <f>SUM('1:31'!N14)</f>
        <v>20</v>
      </c>
      <c r="O14" s="132">
        <f>SUM('1:31'!O14)</f>
        <v>0</v>
      </c>
      <c r="P14" s="132">
        <f>SUM('1:31'!P14)</f>
        <v>20</v>
      </c>
      <c r="Q14" s="132">
        <f>SUM('1:31'!Q14)</f>
        <v>0</v>
      </c>
      <c r="R14" s="132">
        <f>SUM('1:31'!R14)</f>
        <v>0</v>
      </c>
      <c r="S14" s="132">
        <f>SUM('1:31'!S14)</f>
        <v>0</v>
      </c>
      <c r="T14" s="132">
        <f>SUM('1:31'!T14)</f>
        <v>555</v>
      </c>
    </row>
    <row r="15" spans="1:20" ht="25.5" customHeight="1" x14ac:dyDescent="0.35">
      <c r="A15" s="129"/>
      <c r="B15" s="130"/>
      <c r="C15" s="130"/>
      <c r="D15" s="130">
        <f>SUM('1:31'!D15)</f>
        <v>0</v>
      </c>
      <c r="E15" s="130"/>
      <c r="F15" s="130">
        <f>SUM('1:31'!F15)</f>
        <v>3482</v>
      </c>
      <c r="G15" s="130">
        <f>SUM('1:31'!G15)</f>
        <v>3460</v>
      </c>
      <c r="H15" s="131">
        <f>SUM('1:31'!H15)</f>
        <v>0</v>
      </c>
      <c r="I15" s="132">
        <f>SUM('1:31'!I15)</f>
        <v>0</v>
      </c>
      <c r="J15" s="132">
        <f>SUM('1:31'!J15)</f>
        <v>0</v>
      </c>
      <c r="K15" s="132">
        <f>SUM('1:31'!K15)</f>
        <v>0</v>
      </c>
      <c r="L15" s="132">
        <f>SUM('1:31'!L15)</f>
        <v>0</v>
      </c>
      <c r="M15" s="132">
        <f>SUM('1:31'!M15)</f>
        <v>0</v>
      </c>
      <c r="N15" s="132">
        <f>SUM('1:31'!N15)</f>
        <v>22</v>
      </c>
      <c r="O15" s="132">
        <f>SUM('1:31'!O15)</f>
        <v>0</v>
      </c>
      <c r="P15" s="132">
        <f>SUM('1:31'!P15)</f>
        <v>0</v>
      </c>
      <c r="Q15" s="132">
        <f>SUM('1:31'!Q15)</f>
        <v>0</v>
      </c>
      <c r="R15" s="132">
        <f>SUM('1:31'!R15)</f>
        <v>0</v>
      </c>
      <c r="S15" s="132">
        <f>SUM('1:31'!S15)</f>
        <v>0</v>
      </c>
      <c r="T15" s="132">
        <f>SUM('1:31'!T15)</f>
        <v>0</v>
      </c>
    </row>
    <row r="16" spans="1:20" ht="25.5" customHeight="1" x14ac:dyDescent="0.35">
      <c r="A16" s="129"/>
      <c r="B16" s="130"/>
      <c r="C16" s="130"/>
      <c r="D16" s="130">
        <f>SUM('1:31'!D16)</f>
        <v>0</v>
      </c>
      <c r="E16" s="130"/>
      <c r="F16" s="130">
        <f>SUM('1:31'!F16)</f>
        <v>3048</v>
      </c>
      <c r="G16" s="130">
        <f>SUM('1:31'!G16)</f>
        <v>3020</v>
      </c>
      <c r="H16" s="131">
        <f>SUM('1:31'!H16)</f>
        <v>0</v>
      </c>
      <c r="I16" s="132">
        <f>SUM('1:31'!I16)</f>
        <v>0</v>
      </c>
      <c r="J16" s="132">
        <f>SUM('1:31'!J16)</f>
        <v>0</v>
      </c>
      <c r="K16" s="132">
        <f>SUM('1:31'!K16)</f>
        <v>0</v>
      </c>
      <c r="L16" s="132">
        <f>SUM('1:31'!L16)</f>
        <v>0</v>
      </c>
      <c r="M16" s="132">
        <f>SUM('1:31'!M16)</f>
        <v>0</v>
      </c>
      <c r="N16" s="132">
        <f>SUM('1:31'!N16)</f>
        <v>28</v>
      </c>
      <c r="O16" s="132">
        <f>SUM('1:31'!O16)</f>
        <v>0</v>
      </c>
      <c r="P16" s="132">
        <f>SUM('1:31'!P16)</f>
        <v>0</v>
      </c>
      <c r="Q16" s="132">
        <f>SUM('1:31'!Q16)</f>
        <v>0</v>
      </c>
      <c r="R16" s="132">
        <f>SUM('1:31'!R16)</f>
        <v>0</v>
      </c>
      <c r="S16" s="132">
        <f>SUM('1:31'!S16)</f>
        <v>0</v>
      </c>
      <c r="T16" s="132">
        <f>SUM('1:31'!T16)</f>
        <v>0</v>
      </c>
    </row>
    <row r="17" spans="1:20" ht="25.5" customHeight="1" x14ac:dyDescent="0.35">
      <c r="A17" s="129"/>
      <c r="B17" s="130"/>
      <c r="C17" s="130"/>
      <c r="D17" s="130">
        <f>SUM('1:31'!D17)</f>
        <v>0</v>
      </c>
      <c r="E17" s="130"/>
      <c r="F17" s="130">
        <f>SUM('1:31'!F17)</f>
        <v>3570</v>
      </c>
      <c r="G17" s="130">
        <f>SUM('1:31'!G17)</f>
        <v>3570</v>
      </c>
      <c r="H17" s="131">
        <f>SUM('1:31'!H17)</f>
        <v>0</v>
      </c>
      <c r="I17" s="132">
        <f>SUM('1:31'!I17)</f>
        <v>0</v>
      </c>
      <c r="J17" s="132">
        <f>SUM('1:31'!J17)</f>
        <v>0</v>
      </c>
      <c r="K17" s="132">
        <f>SUM('1:31'!K17)</f>
        <v>0</v>
      </c>
      <c r="L17" s="132">
        <f>SUM('1:31'!L17)</f>
        <v>0</v>
      </c>
      <c r="M17" s="132">
        <f>SUM('1:31'!M17)</f>
        <v>0</v>
      </c>
      <c r="N17" s="132">
        <f>SUM('1:31'!N17)</f>
        <v>0</v>
      </c>
      <c r="O17" s="132">
        <f>SUM('1:31'!O17)</f>
        <v>0</v>
      </c>
      <c r="P17" s="132">
        <f>SUM('1:31'!P17)</f>
        <v>0</v>
      </c>
      <c r="Q17" s="132">
        <f>SUM('1:31'!Q17)</f>
        <v>0</v>
      </c>
      <c r="R17" s="132">
        <f>SUM('1:31'!R17)</f>
        <v>0</v>
      </c>
      <c r="S17" s="132">
        <f>SUM('1:31'!S17)</f>
        <v>0</v>
      </c>
      <c r="T17" s="132">
        <f>SUM('1:31'!T17)</f>
        <v>0</v>
      </c>
    </row>
    <row r="18" spans="1:20" ht="25.5" customHeight="1" x14ac:dyDescent="0.35">
      <c r="A18" s="129"/>
      <c r="B18" s="130"/>
      <c r="C18" s="130"/>
      <c r="D18" s="130">
        <f>SUM('1:31'!D18)</f>
        <v>0</v>
      </c>
      <c r="E18" s="130"/>
      <c r="F18" s="130">
        <f>SUM('1:31'!F18)</f>
        <v>3840</v>
      </c>
      <c r="G18" s="130">
        <f>SUM('1:31'!G18)</f>
        <v>3840</v>
      </c>
      <c r="H18" s="131">
        <f>SUM('1:31'!H18)</f>
        <v>0</v>
      </c>
      <c r="I18" s="132">
        <f>SUM('1:31'!I18)</f>
        <v>0</v>
      </c>
      <c r="J18" s="132">
        <f>SUM('1:31'!J18)</f>
        <v>0</v>
      </c>
      <c r="K18" s="132">
        <f>SUM('1:31'!K18)</f>
        <v>0</v>
      </c>
      <c r="L18" s="132">
        <f>SUM('1:31'!L18)</f>
        <v>0</v>
      </c>
      <c r="M18" s="132">
        <f>SUM('1:31'!M18)</f>
        <v>0</v>
      </c>
      <c r="N18" s="132">
        <f>SUM('1:31'!N18)</f>
        <v>0</v>
      </c>
      <c r="O18" s="132">
        <f>SUM('1:31'!O18)</f>
        <v>0</v>
      </c>
      <c r="P18" s="132">
        <f>SUM('1:31'!P18)</f>
        <v>0</v>
      </c>
      <c r="Q18" s="132">
        <f>SUM('1:31'!Q18)</f>
        <v>0</v>
      </c>
      <c r="R18" s="132">
        <f>SUM('1:31'!R18)</f>
        <v>0</v>
      </c>
      <c r="S18" s="132">
        <f>SUM('1:31'!S18)</f>
        <v>0</v>
      </c>
      <c r="T18" s="132">
        <f>SUM('1:31'!T18)</f>
        <v>0</v>
      </c>
    </row>
    <row r="19" spans="1:20" ht="25.5" customHeight="1" x14ac:dyDescent="0.35">
      <c r="A19" s="129"/>
      <c r="B19" s="130"/>
      <c r="C19" s="130"/>
      <c r="D19" s="130">
        <f>SUM('1:31'!D19)</f>
        <v>0</v>
      </c>
      <c r="E19" s="130"/>
      <c r="F19" s="130">
        <f>SUM('1:31'!F19)</f>
        <v>3000</v>
      </c>
      <c r="G19" s="130">
        <f>SUM('1:31'!G19)</f>
        <v>3000</v>
      </c>
      <c r="H19" s="131">
        <f>SUM('1:31'!H19)</f>
        <v>0</v>
      </c>
      <c r="I19" s="132">
        <f>SUM('1:31'!I19)</f>
        <v>0</v>
      </c>
      <c r="J19" s="132">
        <f>SUM('1:31'!J19)</f>
        <v>0</v>
      </c>
      <c r="K19" s="132">
        <f>SUM('1:31'!K19)</f>
        <v>0</v>
      </c>
      <c r="L19" s="132">
        <f>SUM('1:31'!L19)</f>
        <v>0</v>
      </c>
      <c r="M19" s="132">
        <f>SUM('1:31'!M19)</f>
        <v>0</v>
      </c>
      <c r="N19" s="132">
        <f>SUM('1:31'!N19)</f>
        <v>0</v>
      </c>
      <c r="O19" s="132">
        <f>SUM('1:31'!O19)</f>
        <v>0</v>
      </c>
      <c r="P19" s="132">
        <f>SUM('1:31'!P19)</f>
        <v>0</v>
      </c>
      <c r="Q19" s="132">
        <f>SUM('1:31'!Q19)</f>
        <v>0</v>
      </c>
      <c r="R19" s="132">
        <f>SUM('1:31'!R19)</f>
        <v>0</v>
      </c>
      <c r="S19" s="132">
        <f>SUM('1:31'!S19)</f>
        <v>0</v>
      </c>
      <c r="T19" s="132">
        <f>SUM('1:31'!T19)</f>
        <v>0</v>
      </c>
    </row>
    <row r="20" spans="1:20" ht="25.5" customHeight="1" x14ac:dyDescent="0.35">
      <c r="A20" s="129"/>
      <c r="B20" s="130"/>
      <c r="C20" s="130"/>
      <c r="D20" s="130">
        <f>SUM('1:31'!D20)</f>
        <v>0</v>
      </c>
      <c r="E20" s="130"/>
      <c r="F20" s="130">
        <f>SUM('1:31'!F20)</f>
        <v>3240</v>
      </c>
      <c r="G20" s="130">
        <f>SUM('1:31'!G20)</f>
        <v>3240</v>
      </c>
      <c r="H20" s="131">
        <f>SUM('1:31'!H20)</f>
        <v>0</v>
      </c>
      <c r="I20" s="132">
        <f>SUM('1:31'!I20)</f>
        <v>0</v>
      </c>
      <c r="J20" s="132">
        <f>SUM('1:31'!J20)</f>
        <v>0</v>
      </c>
      <c r="K20" s="132">
        <f>SUM('1:31'!K20)</f>
        <v>0</v>
      </c>
      <c r="L20" s="132">
        <f>SUM('1:31'!L20)</f>
        <v>0</v>
      </c>
      <c r="M20" s="132">
        <f>SUM('1:31'!M20)</f>
        <v>0</v>
      </c>
      <c r="N20" s="132">
        <f>SUM('1:31'!N20)</f>
        <v>0</v>
      </c>
      <c r="O20" s="132">
        <f>SUM('1:31'!O20)</f>
        <v>0</v>
      </c>
      <c r="P20" s="132">
        <f>SUM('1:31'!P20)</f>
        <v>0</v>
      </c>
      <c r="Q20" s="132">
        <f>SUM('1:31'!Q20)</f>
        <v>0</v>
      </c>
      <c r="R20" s="132">
        <f>SUM('1:31'!R20)</f>
        <v>0</v>
      </c>
      <c r="S20" s="132">
        <f>SUM('1:31'!S20)</f>
        <v>0</v>
      </c>
      <c r="T20" s="132">
        <f>SUM('1:31'!T20)</f>
        <v>0</v>
      </c>
    </row>
    <row r="21" spans="1:20" ht="25.5" customHeight="1" x14ac:dyDescent="0.35">
      <c r="A21" s="129"/>
      <c r="B21" s="130"/>
      <c r="C21" s="130"/>
      <c r="D21" s="130">
        <f>SUM('1:31'!D21)</f>
        <v>0</v>
      </c>
      <c r="E21" s="130"/>
      <c r="F21" s="130">
        <f>SUM('1:31'!F21)</f>
        <v>2800</v>
      </c>
      <c r="G21" s="130">
        <f>SUM('1:31'!G21)</f>
        <v>2800</v>
      </c>
      <c r="H21" s="131">
        <f>SUM('1:31'!H21)</f>
        <v>0</v>
      </c>
      <c r="I21" s="132">
        <f>SUM('1:31'!I21)</f>
        <v>0</v>
      </c>
      <c r="J21" s="132">
        <f>SUM('1:31'!J21)</f>
        <v>0</v>
      </c>
      <c r="K21" s="132">
        <f>SUM('1:31'!K21)</f>
        <v>0</v>
      </c>
      <c r="L21" s="132">
        <f>SUM('1:31'!L21)</f>
        <v>0</v>
      </c>
      <c r="M21" s="132">
        <f>SUM('1:31'!M21)</f>
        <v>0</v>
      </c>
      <c r="N21" s="132">
        <f>SUM('1:31'!N21)</f>
        <v>0</v>
      </c>
      <c r="O21" s="132">
        <f>SUM('1:31'!O21)</f>
        <v>0</v>
      </c>
      <c r="P21" s="132">
        <f>SUM('1:31'!P21)</f>
        <v>0</v>
      </c>
      <c r="Q21" s="132">
        <f>SUM('1:31'!Q21)</f>
        <v>0</v>
      </c>
      <c r="R21" s="132">
        <f>SUM('1:31'!R21)</f>
        <v>0</v>
      </c>
      <c r="S21" s="132">
        <f>SUM('1:31'!S21)</f>
        <v>0</v>
      </c>
      <c r="T21" s="132">
        <f>SUM('1:31'!T21)</f>
        <v>0</v>
      </c>
    </row>
    <row r="22" spans="1:20" ht="25.5" customHeight="1" x14ac:dyDescent="0.35">
      <c r="A22" s="129"/>
      <c r="B22" s="130"/>
      <c r="C22" s="130"/>
      <c r="D22" s="130">
        <f>SUM('1:31'!D22)</f>
        <v>0</v>
      </c>
      <c r="E22" s="130"/>
      <c r="F22" s="130">
        <f>SUM('1:31'!F22)</f>
        <v>2150</v>
      </c>
      <c r="G22" s="130">
        <f>SUM('1:31'!G22)</f>
        <v>2150</v>
      </c>
      <c r="H22" s="131">
        <f>SUM('1:31'!H22)</f>
        <v>0</v>
      </c>
      <c r="I22" s="132">
        <f>SUM('1:31'!I22)</f>
        <v>0</v>
      </c>
      <c r="J22" s="132">
        <f>SUM('1:31'!J22)</f>
        <v>0</v>
      </c>
      <c r="K22" s="132">
        <f>SUM('1:31'!K22)</f>
        <v>0</v>
      </c>
      <c r="L22" s="132">
        <f>SUM('1:31'!L22)</f>
        <v>0</v>
      </c>
      <c r="M22" s="132">
        <f>SUM('1:31'!M22)</f>
        <v>0</v>
      </c>
      <c r="N22" s="132">
        <f>SUM('1:31'!N22)</f>
        <v>0</v>
      </c>
      <c r="O22" s="132">
        <f>SUM('1:31'!O22)</f>
        <v>0</v>
      </c>
      <c r="P22" s="132">
        <f>SUM('1:31'!P22)</f>
        <v>0</v>
      </c>
      <c r="Q22" s="132">
        <f>SUM('1:31'!Q22)</f>
        <v>0</v>
      </c>
      <c r="R22" s="132">
        <f>SUM('1:31'!R22)</f>
        <v>0</v>
      </c>
      <c r="S22" s="132">
        <f>SUM('1:31'!S22)</f>
        <v>0</v>
      </c>
      <c r="T22" s="132">
        <f>SUM('1:31'!T22)</f>
        <v>0</v>
      </c>
    </row>
    <row r="23" spans="1:20" ht="25.5" customHeight="1" x14ac:dyDescent="0.35">
      <c r="A23" s="129"/>
      <c r="B23" s="130"/>
      <c r="C23" s="130"/>
      <c r="D23" s="130">
        <f>SUM('1:31'!D23)</f>
        <v>0</v>
      </c>
      <c r="E23" s="130"/>
      <c r="F23" s="130">
        <f>SUM('1:31'!F23)</f>
        <v>2150</v>
      </c>
      <c r="G23" s="130">
        <f>SUM('1:31'!G23)</f>
        <v>2150</v>
      </c>
      <c r="H23" s="131">
        <f>SUM('1:31'!H23)</f>
        <v>0</v>
      </c>
      <c r="I23" s="132">
        <f>SUM('1:31'!I23)</f>
        <v>0</v>
      </c>
      <c r="J23" s="132">
        <f>SUM('1:31'!J23)</f>
        <v>0</v>
      </c>
      <c r="K23" s="132">
        <f>SUM('1:31'!K23)</f>
        <v>0</v>
      </c>
      <c r="L23" s="132">
        <f>SUM('1:31'!L23)</f>
        <v>0</v>
      </c>
      <c r="M23" s="132">
        <f>SUM('1:31'!M23)</f>
        <v>0</v>
      </c>
      <c r="N23" s="132">
        <f>SUM('1:31'!N23)</f>
        <v>0</v>
      </c>
      <c r="O23" s="132">
        <f>SUM('1:31'!O23)</f>
        <v>0</v>
      </c>
      <c r="P23" s="132">
        <f>SUM('1:31'!P23)</f>
        <v>0</v>
      </c>
      <c r="Q23" s="132">
        <f>SUM('1:31'!Q23)</f>
        <v>0</v>
      </c>
      <c r="R23" s="132">
        <f>SUM('1:31'!R23)</f>
        <v>0</v>
      </c>
      <c r="S23" s="132">
        <f>SUM('1:31'!S23)</f>
        <v>0</v>
      </c>
      <c r="T23" s="132">
        <f>SUM('1:31'!T23)</f>
        <v>0</v>
      </c>
    </row>
    <row r="24" spans="1:20" ht="25.5" customHeight="1" x14ac:dyDescent="0.35">
      <c r="A24" s="129"/>
      <c r="B24" s="130"/>
      <c r="C24" s="130"/>
      <c r="D24" s="130">
        <f>SUM('1:31'!D24)</f>
        <v>0</v>
      </c>
      <c r="E24" s="130"/>
      <c r="F24" s="130">
        <f>SUM('1:31'!F24)</f>
        <v>1900</v>
      </c>
      <c r="G24" s="130">
        <f>SUM('1:31'!G24)</f>
        <v>1900</v>
      </c>
      <c r="H24" s="131">
        <f>SUM('1:31'!H24)</f>
        <v>0</v>
      </c>
      <c r="I24" s="132">
        <f>SUM('1:31'!I24)</f>
        <v>0</v>
      </c>
      <c r="J24" s="132">
        <f>SUM('1:31'!J24)</f>
        <v>0</v>
      </c>
      <c r="K24" s="132">
        <f>SUM('1:31'!K24)</f>
        <v>0</v>
      </c>
      <c r="L24" s="132">
        <f>SUM('1:31'!L24)</f>
        <v>0</v>
      </c>
      <c r="M24" s="132">
        <f>SUM('1:31'!M24)</f>
        <v>0</v>
      </c>
      <c r="N24" s="132">
        <f>SUM('1:31'!N24)</f>
        <v>0</v>
      </c>
      <c r="O24" s="132">
        <f>SUM('1:31'!O24)</f>
        <v>0</v>
      </c>
      <c r="P24" s="132">
        <f>SUM('1:31'!P24)</f>
        <v>0</v>
      </c>
      <c r="Q24" s="132">
        <f>SUM('1:31'!Q24)</f>
        <v>0</v>
      </c>
      <c r="R24" s="132">
        <f>SUM('1:31'!R24)</f>
        <v>0</v>
      </c>
      <c r="S24" s="132">
        <f>SUM('1:31'!S24)</f>
        <v>0</v>
      </c>
      <c r="T24" s="132">
        <f>SUM('1:31'!T24)</f>
        <v>0</v>
      </c>
    </row>
    <row r="25" spans="1:20" ht="25.5" customHeight="1" x14ac:dyDescent="0.35">
      <c r="A25" s="129"/>
      <c r="B25" s="130"/>
      <c r="C25" s="130"/>
      <c r="D25" s="130">
        <f>SUM('1:31'!D25)</f>
        <v>0</v>
      </c>
      <c r="E25" s="130"/>
      <c r="F25" s="130">
        <f>SUM('1:31'!F25)</f>
        <v>1905</v>
      </c>
      <c r="G25" s="130">
        <f>SUM('1:31'!G25)</f>
        <v>1860</v>
      </c>
      <c r="H25" s="131">
        <f>SUM('1:31'!H25)</f>
        <v>0</v>
      </c>
      <c r="I25" s="132">
        <f>SUM('1:31'!I25)</f>
        <v>0</v>
      </c>
      <c r="J25" s="132">
        <f>SUM('1:31'!J25)</f>
        <v>0</v>
      </c>
      <c r="K25" s="132">
        <f>SUM('1:31'!K25)</f>
        <v>0</v>
      </c>
      <c r="L25" s="132">
        <f>SUM('1:31'!L25)</f>
        <v>0</v>
      </c>
      <c r="M25" s="132">
        <f>SUM('1:31'!M25)</f>
        <v>0</v>
      </c>
      <c r="N25" s="132">
        <f>SUM('1:31'!N25)</f>
        <v>45</v>
      </c>
      <c r="O25" s="132">
        <f>SUM('1:31'!O25)</f>
        <v>0</v>
      </c>
      <c r="P25" s="132">
        <f>SUM('1:31'!P25)</f>
        <v>0</v>
      </c>
      <c r="Q25" s="132">
        <f>SUM('1:31'!Q25)</f>
        <v>0</v>
      </c>
      <c r="R25" s="132">
        <f>SUM('1:31'!R25)</f>
        <v>0</v>
      </c>
      <c r="S25" s="132">
        <f>SUM('1:31'!S25)</f>
        <v>0</v>
      </c>
      <c r="T25" s="132">
        <f>SUM('1:31'!T25)</f>
        <v>0</v>
      </c>
    </row>
    <row r="26" spans="1:20" ht="25.5" customHeight="1" x14ac:dyDescent="0.35">
      <c r="A26" s="129"/>
      <c r="B26" s="130"/>
      <c r="C26" s="130"/>
      <c r="D26" s="130">
        <f>SUM('1:31'!D26)</f>
        <v>0</v>
      </c>
      <c r="E26" s="130"/>
      <c r="F26" s="130">
        <f>SUM('1:31'!F26)</f>
        <v>410</v>
      </c>
      <c r="G26" s="130">
        <f>SUM('1:31'!G26)</f>
        <v>410</v>
      </c>
      <c r="H26" s="131">
        <f>SUM('1:31'!H26)</f>
        <v>0</v>
      </c>
      <c r="I26" s="132">
        <f>SUM('1:31'!I26)</f>
        <v>0</v>
      </c>
      <c r="J26" s="132">
        <f>SUM('1:31'!J26)</f>
        <v>0</v>
      </c>
      <c r="K26" s="132">
        <f>SUM('1:31'!K26)</f>
        <v>0</v>
      </c>
      <c r="L26" s="132">
        <f>SUM('1:31'!L26)</f>
        <v>0</v>
      </c>
      <c r="M26" s="132">
        <f>SUM('1:31'!M26)</f>
        <v>0</v>
      </c>
      <c r="N26" s="132">
        <f>SUM('1:31'!N26)</f>
        <v>0</v>
      </c>
      <c r="O26" s="132">
        <f>SUM('1:31'!O26)</f>
        <v>0</v>
      </c>
      <c r="P26" s="132">
        <f>SUM('1:31'!P26)</f>
        <v>0</v>
      </c>
      <c r="Q26" s="132">
        <f>SUM('1:31'!Q26)</f>
        <v>0</v>
      </c>
      <c r="R26" s="132">
        <f>SUM('1:31'!R26)</f>
        <v>0</v>
      </c>
      <c r="S26" s="132">
        <f>SUM('1:31'!S26)</f>
        <v>0</v>
      </c>
      <c r="T26" s="132">
        <f>SUM('1:31'!T26)</f>
        <v>0</v>
      </c>
    </row>
    <row r="27" spans="1:20" ht="25.5" customHeight="1" x14ac:dyDescent="0.35">
      <c r="A27" s="129"/>
      <c r="B27" s="130"/>
      <c r="C27" s="130"/>
      <c r="D27" s="130">
        <f>SUM('1:31'!D27)</f>
        <v>0</v>
      </c>
      <c r="E27" s="130"/>
      <c r="F27" s="130">
        <f>SUM('1:31'!F27)</f>
        <v>820</v>
      </c>
      <c r="G27" s="130">
        <f>SUM('1:31'!G27)</f>
        <v>820</v>
      </c>
      <c r="H27" s="131">
        <f>SUM('1:31'!H27)</f>
        <v>0</v>
      </c>
      <c r="I27" s="132">
        <f>SUM('1:31'!I27)</f>
        <v>0</v>
      </c>
      <c r="J27" s="132">
        <f>SUM('1:31'!J27)</f>
        <v>0</v>
      </c>
      <c r="K27" s="132">
        <f>SUM('1:31'!K27)</f>
        <v>0</v>
      </c>
      <c r="L27" s="132">
        <f>SUM('1:31'!L27)</f>
        <v>0</v>
      </c>
      <c r="M27" s="132">
        <f>SUM('1:31'!M27)</f>
        <v>0</v>
      </c>
      <c r="N27" s="132">
        <f>SUM('1:31'!N27)</f>
        <v>0</v>
      </c>
      <c r="O27" s="132">
        <f>SUM('1:31'!O27)</f>
        <v>0</v>
      </c>
      <c r="P27" s="132">
        <f>SUM('1:31'!P27)</f>
        <v>0</v>
      </c>
      <c r="Q27" s="132">
        <f>SUM('1:31'!Q27)</f>
        <v>0</v>
      </c>
      <c r="R27" s="132">
        <f>SUM('1:31'!R27)</f>
        <v>0</v>
      </c>
      <c r="S27" s="132">
        <f>SUM('1:31'!S27)</f>
        <v>0</v>
      </c>
      <c r="T27" s="132">
        <f>SUM('1:31'!T27)</f>
        <v>0</v>
      </c>
    </row>
    <row r="28" spans="1:20" ht="25.5" customHeight="1" x14ac:dyDescent="0.35">
      <c r="A28" s="129"/>
      <c r="B28" s="130"/>
      <c r="C28" s="130"/>
      <c r="D28" s="130">
        <f>SUM('1:31'!D28)</f>
        <v>0</v>
      </c>
      <c r="E28" s="130"/>
      <c r="F28" s="130">
        <f>SUM('1:31'!F28)</f>
        <v>440</v>
      </c>
      <c r="G28" s="130">
        <f>SUM('1:31'!G28)</f>
        <v>440</v>
      </c>
      <c r="H28" s="131">
        <f>SUM('1:31'!H28)</f>
        <v>0</v>
      </c>
      <c r="I28" s="132">
        <f>SUM('1:31'!I28)</f>
        <v>0</v>
      </c>
      <c r="J28" s="132">
        <f>SUM('1:31'!J28)</f>
        <v>0</v>
      </c>
      <c r="K28" s="132">
        <f>SUM('1:31'!K28)</f>
        <v>0</v>
      </c>
      <c r="L28" s="132">
        <f>SUM('1:31'!L28)</f>
        <v>0</v>
      </c>
      <c r="M28" s="132">
        <f>SUM('1:31'!M28)</f>
        <v>0</v>
      </c>
      <c r="N28" s="132">
        <f>SUM('1:31'!N28)</f>
        <v>0</v>
      </c>
      <c r="O28" s="132">
        <f>SUM('1:31'!O28)</f>
        <v>0</v>
      </c>
      <c r="P28" s="132">
        <f>SUM('1:31'!P28)</f>
        <v>0</v>
      </c>
      <c r="Q28" s="132">
        <f>SUM('1:31'!Q28)</f>
        <v>0</v>
      </c>
      <c r="R28" s="132">
        <f>SUM('1:31'!R28)</f>
        <v>0</v>
      </c>
      <c r="S28" s="132">
        <f>SUM('1:31'!S28)</f>
        <v>0</v>
      </c>
      <c r="T28" s="132">
        <f>SUM('1:31'!T28)</f>
        <v>0</v>
      </c>
    </row>
    <row r="29" spans="1:20" ht="25.5" customHeight="1" x14ac:dyDescent="0.35">
      <c r="A29" s="129"/>
      <c r="B29" s="130"/>
      <c r="C29" s="130"/>
      <c r="D29" s="130">
        <f>SUM('1:31'!D29)</f>
        <v>0</v>
      </c>
      <c r="E29" s="130"/>
      <c r="F29" s="130">
        <f>SUM('1:31'!F29)</f>
        <v>280</v>
      </c>
      <c r="G29" s="130">
        <f>SUM('1:31'!G29)</f>
        <v>280</v>
      </c>
      <c r="H29" s="131">
        <f>SUM('1:31'!H29)</f>
        <v>0</v>
      </c>
      <c r="I29" s="132">
        <f>SUM('1:31'!I29)</f>
        <v>0</v>
      </c>
      <c r="J29" s="132">
        <f>SUM('1:31'!J29)</f>
        <v>0</v>
      </c>
      <c r="K29" s="132">
        <f>SUM('1:31'!K29)</f>
        <v>0</v>
      </c>
      <c r="L29" s="132">
        <f>SUM('1:31'!L29)</f>
        <v>0</v>
      </c>
      <c r="M29" s="132">
        <f>SUM('1:31'!M29)</f>
        <v>0</v>
      </c>
      <c r="N29" s="132">
        <f>SUM('1:31'!N29)</f>
        <v>0</v>
      </c>
      <c r="O29" s="132">
        <f>SUM('1:31'!O29)</f>
        <v>0</v>
      </c>
      <c r="P29" s="132">
        <f>SUM('1:31'!P29)</f>
        <v>0</v>
      </c>
      <c r="Q29" s="132">
        <f>SUM('1:31'!Q29)</f>
        <v>0</v>
      </c>
      <c r="R29" s="132">
        <f>SUM('1:31'!R29)</f>
        <v>0</v>
      </c>
      <c r="S29" s="132">
        <f>SUM('1:31'!S29)</f>
        <v>0</v>
      </c>
      <c r="T29" s="132">
        <f>SUM('1:31'!T29)</f>
        <v>0</v>
      </c>
    </row>
    <row r="30" spans="1:20" ht="25.5" customHeight="1" x14ac:dyDescent="0.35">
      <c r="A30" s="129"/>
      <c r="B30" s="130"/>
      <c r="C30" s="130"/>
      <c r="D30" s="130">
        <f>SUM('1:31'!D30)</f>
        <v>0</v>
      </c>
      <c r="E30" s="130"/>
      <c r="F30" s="130">
        <f>SUM('1:31'!F30)</f>
        <v>100</v>
      </c>
      <c r="G30" s="130">
        <f>SUM('1:31'!G30)</f>
        <v>100</v>
      </c>
      <c r="H30" s="131">
        <f>SUM('1:31'!H30)</f>
        <v>0</v>
      </c>
      <c r="I30" s="132">
        <f>SUM('1:31'!I30)</f>
        <v>0</v>
      </c>
      <c r="J30" s="132">
        <f>SUM('1:31'!J30)</f>
        <v>0</v>
      </c>
      <c r="K30" s="132">
        <f>SUM('1:31'!K30)</f>
        <v>0</v>
      </c>
      <c r="L30" s="132">
        <f>SUM('1:31'!L30)</f>
        <v>0</v>
      </c>
      <c r="M30" s="132">
        <f>SUM('1:31'!M30)</f>
        <v>0</v>
      </c>
      <c r="N30" s="132">
        <f>SUM('1:31'!N30)</f>
        <v>0</v>
      </c>
      <c r="O30" s="132">
        <f>SUM('1:31'!O30)</f>
        <v>0</v>
      </c>
      <c r="P30" s="132">
        <f>SUM('1:31'!P30)</f>
        <v>0</v>
      </c>
      <c r="Q30" s="132">
        <f>SUM('1:31'!Q30)</f>
        <v>0</v>
      </c>
      <c r="R30" s="132">
        <f>SUM('1:31'!R30)</f>
        <v>0</v>
      </c>
      <c r="S30" s="132">
        <f>SUM('1:31'!S30)</f>
        <v>0</v>
      </c>
      <c r="T30" s="132">
        <f>SUM('1:31'!T30)</f>
        <v>0</v>
      </c>
    </row>
    <row r="31" spans="1:20" ht="25.5" customHeight="1" x14ac:dyDescent="0.35">
      <c r="A31" s="129"/>
      <c r="B31" s="130"/>
      <c r="C31" s="130"/>
      <c r="D31" s="130">
        <f>SUM('1:31'!D31)</f>
        <v>0</v>
      </c>
      <c r="E31" s="130"/>
      <c r="F31" s="130">
        <f>SUM('1:31'!F31)</f>
        <v>100</v>
      </c>
      <c r="G31" s="130">
        <f>SUM('1:31'!G31)</f>
        <v>100</v>
      </c>
      <c r="H31" s="131">
        <f>SUM('1:31'!H31)</f>
        <v>0</v>
      </c>
      <c r="I31" s="132">
        <f>SUM('1:31'!I31)</f>
        <v>0</v>
      </c>
      <c r="J31" s="132">
        <f>SUM('1:31'!J31)</f>
        <v>0</v>
      </c>
      <c r="K31" s="132">
        <f>SUM('1:31'!K31)</f>
        <v>0</v>
      </c>
      <c r="L31" s="132">
        <f>SUM('1:31'!L31)</f>
        <v>0</v>
      </c>
      <c r="M31" s="132">
        <f>SUM('1:31'!M31)</f>
        <v>0</v>
      </c>
      <c r="N31" s="132">
        <f>SUM('1:31'!N31)</f>
        <v>0</v>
      </c>
      <c r="O31" s="132">
        <f>SUM('1:31'!O31)</f>
        <v>0</v>
      </c>
      <c r="P31" s="132">
        <f>SUM('1:31'!P31)</f>
        <v>0</v>
      </c>
      <c r="Q31" s="132">
        <f>SUM('1:31'!Q31)</f>
        <v>0</v>
      </c>
      <c r="R31" s="132">
        <f>SUM('1:31'!R31)</f>
        <v>0</v>
      </c>
      <c r="S31" s="132">
        <f>SUM('1:31'!S31)</f>
        <v>0</v>
      </c>
      <c r="T31" s="132">
        <f>SUM('1:31'!T31)</f>
        <v>0</v>
      </c>
    </row>
    <row r="32" spans="1:20" ht="25.5" customHeight="1" x14ac:dyDescent="0.35">
      <c r="A32" s="129"/>
      <c r="B32" s="130"/>
      <c r="C32" s="130"/>
      <c r="D32" s="130">
        <f>SUM('1:31'!D32)</f>
        <v>0</v>
      </c>
      <c r="E32" s="130"/>
      <c r="F32" s="130">
        <f>SUM('1:31'!F32)</f>
        <v>150</v>
      </c>
      <c r="G32" s="130">
        <f>SUM('1:31'!G32)</f>
        <v>150</v>
      </c>
      <c r="H32" s="131">
        <f>SUM('1:31'!H32)</f>
        <v>0</v>
      </c>
      <c r="I32" s="132">
        <f>SUM('1:31'!I32)</f>
        <v>0</v>
      </c>
      <c r="J32" s="132">
        <f>SUM('1:31'!J32)</f>
        <v>0</v>
      </c>
      <c r="K32" s="132">
        <f>SUM('1:31'!K32)</f>
        <v>0</v>
      </c>
      <c r="L32" s="132">
        <f>SUM('1:31'!L32)</f>
        <v>0</v>
      </c>
      <c r="M32" s="132">
        <f>SUM('1:31'!M32)</f>
        <v>0</v>
      </c>
      <c r="N32" s="132">
        <f>SUM('1:31'!N32)</f>
        <v>0</v>
      </c>
      <c r="O32" s="132">
        <f>SUM('1:31'!O32)</f>
        <v>0</v>
      </c>
      <c r="P32" s="132">
        <f>SUM('1:31'!P32)</f>
        <v>0</v>
      </c>
      <c r="Q32" s="132">
        <f>SUM('1:31'!Q32)</f>
        <v>0</v>
      </c>
      <c r="R32" s="132">
        <f>SUM('1:31'!R32)</f>
        <v>0</v>
      </c>
      <c r="S32" s="132">
        <f>SUM('1:31'!S32)</f>
        <v>0</v>
      </c>
      <c r="T32" s="132">
        <f>SUM('1:31'!T32)</f>
        <v>0</v>
      </c>
    </row>
    <row r="33" spans="1:20" ht="25.5" customHeight="1" x14ac:dyDescent="0.35">
      <c r="A33" s="129"/>
      <c r="B33" s="130"/>
      <c r="C33" s="130"/>
      <c r="D33" s="130">
        <f>SUM('1:31'!D33)</f>
        <v>0</v>
      </c>
      <c r="E33" s="130"/>
      <c r="F33" s="130">
        <f>SUM('1:31'!F33)</f>
        <v>100</v>
      </c>
      <c r="G33" s="130">
        <f>SUM('1:31'!G33)</f>
        <v>100</v>
      </c>
      <c r="H33" s="131">
        <f>SUM('1:31'!H33)</f>
        <v>0</v>
      </c>
      <c r="I33" s="132">
        <f>SUM('1:31'!I33)</f>
        <v>0</v>
      </c>
      <c r="J33" s="132">
        <f>SUM('1:31'!J33)</f>
        <v>0</v>
      </c>
      <c r="K33" s="132">
        <f>SUM('1:31'!K33)</f>
        <v>0</v>
      </c>
      <c r="L33" s="132">
        <f>SUM('1:31'!L33)</f>
        <v>0</v>
      </c>
      <c r="M33" s="132">
        <f>SUM('1:31'!M33)</f>
        <v>0</v>
      </c>
      <c r="N33" s="132">
        <f>SUM('1:31'!N33)</f>
        <v>0</v>
      </c>
      <c r="O33" s="132">
        <f>SUM('1:31'!O33)</f>
        <v>0</v>
      </c>
      <c r="P33" s="132">
        <f>SUM('1:31'!P33)</f>
        <v>0</v>
      </c>
      <c r="Q33" s="132">
        <f>SUM('1:31'!Q33)</f>
        <v>0</v>
      </c>
      <c r="R33" s="132">
        <f>SUM('1:31'!R33)</f>
        <v>0</v>
      </c>
      <c r="S33" s="132">
        <f>SUM('1:31'!S33)</f>
        <v>0</v>
      </c>
      <c r="T33" s="132">
        <f>SUM('1:31'!T33)</f>
        <v>0</v>
      </c>
    </row>
    <row r="34" spans="1:20" ht="25.5" customHeight="1" x14ac:dyDescent="0.35">
      <c r="A34" s="129"/>
      <c r="B34" s="130"/>
      <c r="C34" s="130"/>
      <c r="D34" s="130">
        <f>SUM('1:31'!D34)</f>
        <v>0</v>
      </c>
      <c r="E34" s="130"/>
      <c r="F34" s="130">
        <f>SUM('1:31'!F34)</f>
        <v>150</v>
      </c>
      <c r="G34" s="130">
        <f>SUM('1:31'!G34)</f>
        <v>150</v>
      </c>
      <c r="H34" s="131">
        <f>SUM('1:31'!H34)</f>
        <v>0</v>
      </c>
      <c r="I34" s="132">
        <f>SUM('1:31'!I34)</f>
        <v>0</v>
      </c>
      <c r="J34" s="132">
        <f>SUM('1:31'!J34)</f>
        <v>0</v>
      </c>
      <c r="K34" s="132">
        <f>SUM('1:31'!K34)</f>
        <v>0</v>
      </c>
      <c r="L34" s="132">
        <f>SUM('1:31'!L34)</f>
        <v>0</v>
      </c>
      <c r="M34" s="132">
        <f>SUM('1:31'!M34)</f>
        <v>0</v>
      </c>
      <c r="N34" s="132">
        <f>SUM('1:31'!N34)</f>
        <v>0</v>
      </c>
      <c r="O34" s="132">
        <f>SUM('1:31'!O34)</f>
        <v>0</v>
      </c>
      <c r="P34" s="132">
        <f>SUM('1:31'!P34)</f>
        <v>0</v>
      </c>
      <c r="Q34" s="132">
        <f>SUM('1:31'!Q34)</f>
        <v>0</v>
      </c>
      <c r="R34" s="132">
        <f>SUM('1:31'!R34)</f>
        <v>0</v>
      </c>
      <c r="S34" s="132">
        <f>SUM('1:31'!S34)</f>
        <v>0</v>
      </c>
      <c r="T34" s="132">
        <f>SUM('1:31'!T34)</f>
        <v>0</v>
      </c>
    </row>
    <row r="35" spans="1:20" ht="25.5" customHeight="1" x14ac:dyDescent="0.35">
      <c r="A35" s="129"/>
      <c r="B35" s="130"/>
      <c r="C35" s="130"/>
      <c r="D35" s="130">
        <f>SUM('1:31'!D35)</f>
        <v>0</v>
      </c>
      <c r="E35" s="130"/>
      <c r="F35" s="130">
        <f>SUM('1:31'!F35)</f>
        <v>150</v>
      </c>
      <c r="G35" s="130">
        <f>SUM('1:31'!G35)</f>
        <v>150</v>
      </c>
      <c r="H35" s="131">
        <f>SUM('1:31'!H35)</f>
        <v>0</v>
      </c>
      <c r="I35" s="132">
        <f>SUM('1:31'!I35)</f>
        <v>0</v>
      </c>
      <c r="J35" s="132">
        <f>SUM('1:31'!J35)</f>
        <v>0</v>
      </c>
      <c r="K35" s="132">
        <f>SUM('1:31'!K35)</f>
        <v>0</v>
      </c>
      <c r="L35" s="132">
        <f>SUM('1:31'!L35)</f>
        <v>0</v>
      </c>
      <c r="M35" s="132">
        <f>SUM('1:31'!M35)</f>
        <v>0</v>
      </c>
      <c r="N35" s="132">
        <f>SUM('1:31'!N35)</f>
        <v>0</v>
      </c>
      <c r="O35" s="132">
        <f>SUM('1:31'!O35)</f>
        <v>0</v>
      </c>
      <c r="P35" s="132">
        <f>SUM('1:31'!P35)</f>
        <v>0</v>
      </c>
      <c r="Q35" s="132">
        <f>SUM('1:31'!Q35)</f>
        <v>0</v>
      </c>
      <c r="R35" s="132">
        <f>SUM('1:31'!R35)</f>
        <v>0</v>
      </c>
      <c r="S35" s="132">
        <f>SUM('1:31'!S35)</f>
        <v>0</v>
      </c>
      <c r="T35" s="132">
        <f>SUM('1:31'!T35)</f>
        <v>0</v>
      </c>
    </row>
    <row r="36" spans="1:20" ht="25.5" customHeight="1" x14ac:dyDescent="0.35">
      <c r="A36" s="129"/>
      <c r="B36" s="130"/>
      <c r="C36" s="130"/>
      <c r="D36" s="130">
        <f>SUM('1:31'!D36)</f>
        <v>0</v>
      </c>
      <c r="E36" s="130"/>
      <c r="F36" s="130">
        <f>SUM('1:31'!F36)</f>
        <v>150</v>
      </c>
      <c r="G36" s="130">
        <f>SUM('1:31'!G36)</f>
        <v>150</v>
      </c>
      <c r="H36" s="131">
        <f>SUM('1:31'!H36)</f>
        <v>0</v>
      </c>
      <c r="I36" s="132">
        <f>SUM('1:31'!I36)</f>
        <v>0</v>
      </c>
      <c r="J36" s="132">
        <f>SUM('1:31'!J36)</f>
        <v>0</v>
      </c>
      <c r="K36" s="132">
        <f>SUM('1:31'!K36)</f>
        <v>0</v>
      </c>
      <c r="L36" s="132">
        <f>SUM('1:31'!L36)</f>
        <v>0</v>
      </c>
      <c r="M36" s="132">
        <f>SUM('1:31'!M36)</f>
        <v>0</v>
      </c>
      <c r="N36" s="132">
        <f>SUM('1:31'!N36)</f>
        <v>0</v>
      </c>
      <c r="O36" s="132">
        <f>SUM('1:31'!O36)</f>
        <v>0</v>
      </c>
      <c r="P36" s="132">
        <f>SUM('1:31'!P36)</f>
        <v>0</v>
      </c>
      <c r="Q36" s="132">
        <f>SUM('1:31'!Q36)</f>
        <v>0</v>
      </c>
      <c r="R36" s="132">
        <f>SUM('1:31'!R36)</f>
        <v>0</v>
      </c>
      <c r="S36" s="132">
        <f>SUM('1:31'!S36)</f>
        <v>0</v>
      </c>
      <c r="T36" s="132">
        <f>SUM('1:31'!T36)</f>
        <v>0</v>
      </c>
    </row>
    <row r="37" spans="1:20" ht="25.5" customHeight="1" x14ac:dyDescent="0.35">
      <c r="A37" s="129"/>
      <c r="B37" s="130"/>
      <c r="C37" s="130"/>
      <c r="D37" s="130">
        <f>SUM('1:31'!D37)</f>
        <v>0</v>
      </c>
      <c r="E37" s="130"/>
      <c r="F37" s="130">
        <f>SUM('1:31'!F37)</f>
        <v>150</v>
      </c>
      <c r="G37" s="130">
        <f>SUM('1:31'!G37)</f>
        <v>150</v>
      </c>
      <c r="H37" s="131">
        <f>SUM('1:31'!H37)</f>
        <v>0</v>
      </c>
      <c r="I37" s="132">
        <f>SUM('1:31'!I37)</f>
        <v>0</v>
      </c>
      <c r="J37" s="132">
        <f>SUM('1:31'!J37)</f>
        <v>0</v>
      </c>
      <c r="K37" s="132">
        <f>SUM('1:31'!K37)</f>
        <v>0</v>
      </c>
      <c r="L37" s="132">
        <f>SUM('1:31'!L37)</f>
        <v>0</v>
      </c>
      <c r="M37" s="132">
        <f>SUM('1:31'!M37)</f>
        <v>0</v>
      </c>
      <c r="N37" s="132">
        <f>SUM('1:31'!N37)</f>
        <v>0</v>
      </c>
      <c r="O37" s="132">
        <f>SUM('1:31'!O37)</f>
        <v>0</v>
      </c>
      <c r="P37" s="132">
        <f>SUM('1:31'!P37)</f>
        <v>0</v>
      </c>
      <c r="Q37" s="132">
        <f>SUM('1:31'!Q37)</f>
        <v>0</v>
      </c>
      <c r="R37" s="132">
        <f>SUM('1:31'!R37)</f>
        <v>0</v>
      </c>
      <c r="S37" s="132">
        <f>SUM('1:31'!S37)</f>
        <v>0</v>
      </c>
      <c r="T37" s="132">
        <f>SUM('1:31'!T37)</f>
        <v>0</v>
      </c>
    </row>
    <row r="38" spans="1:20" ht="25.5" customHeight="1" x14ac:dyDescent="0.35">
      <c r="A38" s="129"/>
      <c r="B38" s="130"/>
      <c r="C38" s="130"/>
      <c r="D38" s="130">
        <f>SUM('1:31'!D38)</f>
        <v>0</v>
      </c>
      <c r="E38" s="130"/>
      <c r="F38" s="130">
        <f>SUM('1:31'!F38)</f>
        <v>100</v>
      </c>
      <c r="G38" s="130">
        <f>SUM('1:31'!G38)</f>
        <v>100</v>
      </c>
      <c r="H38" s="131">
        <f>SUM('1:31'!H38)</f>
        <v>0</v>
      </c>
      <c r="I38" s="132">
        <f>SUM('1:31'!I38)</f>
        <v>0</v>
      </c>
      <c r="J38" s="132">
        <f>SUM('1:31'!J38)</f>
        <v>0</v>
      </c>
      <c r="K38" s="132">
        <f>SUM('1:31'!K38)</f>
        <v>0</v>
      </c>
      <c r="L38" s="132">
        <f>SUM('1:31'!L38)</f>
        <v>0</v>
      </c>
      <c r="M38" s="132">
        <f>SUM('1:31'!M38)</f>
        <v>0</v>
      </c>
      <c r="N38" s="132">
        <f>SUM('1:31'!N38)</f>
        <v>0</v>
      </c>
      <c r="O38" s="132">
        <f>SUM('1:31'!O38)</f>
        <v>0</v>
      </c>
      <c r="P38" s="132">
        <f>SUM('1:31'!P38)</f>
        <v>0</v>
      </c>
      <c r="Q38" s="132">
        <f>SUM('1:31'!Q38)</f>
        <v>0</v>
      </c>
      <c r="R38" s="132">
        <f>SUM('1:31'!R38)</f>
        <v>0</v>
      </c>
      <c r="S38" s="132">
        <f>SUM('1:31'!S38)</f>
        <v>0</v>
      </c>
      <c r="T38" s="132">
        <f>SUM('1:31'!T38)</f>
        <v>0</v>
      </c>
    </row>
    <row r="39" spans="1:20" ht="41.25" customHeight="1" x14ac:dyDescent="0.35">
      <c r="A39" s="177" t="s">
        <v>6</v>
      </c>
      <c r="B39" s="177"/>
      <c r="C39" s="177"/>
      <c r="D39" s="130">
        <f>SUM(D4:D38)</f>
        <v>159909</v>
      </c>
      <c r="E39" s="133"/>
      <c r="F39" s="130">
        <f>SUM(F4:F38)</f>
        <v>75360.75</v>
      </c>
      <c r="G39" s="130">
        <f t="shared" ref="G39:T39" si="0">SUM(G4:G38)</f>
        <v>51685</v>
      </c>
      <c r="H39" s="131">
        <f t="shared" si="0"/>
        <v>1366</v>
      </c>
      <c r="I39" s="132">
        <f t="shared" si="0"/>
        <v>0</v>
      </c>
      <c r="J39" s="132">
        <f t="shared" si="0"/>
        <v>0</v>
      </c>
      <c r="K39" s="132">
        <f t="shared" si="0"/>
        <v>0</v>
      </c>
      <c r="L39" s="132">
        <f t="shared" si="0"/>
        <v>5053</v>
      </c>
      <c r="M39" s="132">
        <f t="shared" si="0"/>
        <v>340</v>
      </c>
      <c r="N39" s="132">
        <f t="shared" si="0"/>
        <v>1688.75</v>
      </c>
      <c r="O39" s="132">
        <f t="shared" si="0"/>
        <v>9</v>
      </c>
      <c r="P39" s="132">
        <f t="shared" si="0"/>
        <v>580</v>
      </c>
      <c r="Q39" s="132">
        <f t="shared" si="0"/>
        <v>0</v>
      </c>
      <c r="R39" s="132">
        <f t="shared" si="0"/>
        <v>4500</v>
      </c>
      <c r="S39" s="132">
        <f t="shared" si="0"/>
        <v>280</v>
      </c>
      <c r="T39" s="132">
        <f t="shared" si="0"/>
        <v>9805</v>
      </c>
    </row>
    <row r="40" spans="1:20" ht="21.75" thickBot="1" x14ac:dyDescent="0.4"/>
    <row r="41" spans="1:20" ht="51.75" customHeight="1" thickTop="1" thickBot="1" x14ac:dyDescent="0.4">
      <c r="A41" s="136" t="s">
        <v>37</v>
      </c>
      <c r="B41" s="178">
        <f>K49</f>
        <v>0</v>
      </c>
      <c r="C41" s="179"/>
      <c r="E41" s="136" t="s">
        <v>26</v>
      </c>
      <c r="F41" s="137" t="s">
        <v>27</v>
      </c>
      <c r="G41" s="138" t="s">
        <v>28</v>
      </c>
      <c r="I41" s="136" t="s">
        <v>26</v>
      </c>
      <c r="J41" s="137" t="s">
        <v>27</v>
      </c>
      <c r="K41" s="138" t="s">
        <v>28</v>
      </c>
    </row>
    <row r="42" spans="1:20" ht="48.75" customHeight="1" thickTop="1" x14ac:dyDescent="0.35">
      <c r="A42" s="136" t="s">
        <v>19</v>
      </c>
      <c r="B42" s="139">
        <f>+D39</f>
        <v>159909</v>
      </c>
      <c r="C42" s="140"/>
      <c r="E42" s="141">
        <v>200</v>
      </c>
      <c r="F42" s="139">
        <f>SUM('1:31'!F42)</f>
        <v>85</v>
      </c>
      <c r="G42" s="140">
        <f>+E42*F42</f>
        <v>17000</v>
      </c>
      <c r="I42" s="141">
        <v>200</v>
      </c>
      <c r="J42" s="139"/>
      <c r="K42" s="140">
        <f>+I42*J42</f>
        <v>0</v>
      </c>
    </row>
    <row r="43" spans="1:20" ht="46.5" customHeight="1" x14ac:dyDescent="0.35">
      <c r="A43" s="142" t="s">
        <v>20</v>
      </c>
      <c r="B43" s="139">
        <f>D8</f>
        <v>50884</v>
      </c>
      <c r="C43" s="140"/>
      <c r="D43" s="143"/>
      <c r="E43" s="141">
        <v>100</v>
      </c>
      <c r="F43" s="139">
        <f>SUM('1:31'!F43)</f>
        <v>115</v>
      </c>
      <c r="G43" s="140">
        <f t="shared" ref="G43:G48" si="1">+E43*F43</f>
        <v>11500</v>
      </c>
      <c r="I43" s="141">
        <v>100</v>
      </c>
      <c r="J43" s="139"/>
      <c r="K43" s="140">
        <f t="shared" ref="K43:K48" si="2">+I43*J43</f>
        <v>0</v>
      </c>
    </row>
    <row r="44" spans="1:20" ht="46.5" customHeight="1" x14ac:dyDescent="0.35">
      <c r="A44" s="142" t="s">
        <v>21</v>
      </c>
      <c r="B44" s="139">
        <f>F39</f>
        <v>75360.75</v>
      </c>
      <c r="C44" s="140"/>
      <c r="E44" s="141">
        <v>50</v>
      </c>
      <c r="F44" s="139">
        <f>SUM('1:31'!F44)</f>
        <v>54</v>
      </c>
      <c r="G44" s="140">
        <f t="shared" si="1"/>
        <v>2700</v>
      </c>
      <c r="I44" s="141">
        <v>50</v>
      </c>
      <c r="J44" s="139"/>
      <c r="K44" s="140">
        <f t="shared" si="2"/>
        <v>0</v>
      </c>
    </row>
    <row r="45" spans="1:20" ht="51.75" customHeight="1" x14ac:dyDescent="0.35">
      <c r="A45" s="142" t="s">
        <v>22</v>
      </c>
      <c r="B45" s="144">
        <f>+B42-B43-B44</f>
        <v>33664.25</v>
      </c>
      <c r="C45" s="145"/>
      <c r="D45" s="143"/>
      <c r="E45" s="141">
        <v>20</v>
      </c>
      <c r="F45" s="139">
        <f>SUM('1:31'!F45)</f>
        <v>32</v>
      </c>
      <c r="G45" s="140">
        <f t="shared" si="1"/>
        <v>640</v>
      </c>
      <c r="I45" s="141">
        <v>20</v>
      </c>
      <c r="J45" s="139"/>
      <c r="K45" s="140">
        <f t="shared" si="2"/>
        <v>0</v>
      </c>
    </row>
    <row r="46" spans="1:20" ht="46.5" customHeight="1" x14ac:dyDescent="0.35">
      <c r="A46" s="142" t="s">
        <v>23</v>
      </c>
      <c r="B46" s="144">
        <f>G49</f>
        <v>33203</v>
      </c>
      <c r="C46" s="145"/>
      <c r="D46" s="134"/>
      <c r="E46" s="141">
        <v>10</v>
      </c>
      <c r="F46" s="139">
        <f>SUM('1:31'!F46)</f>
        <v>48</v>
      </c>
      <c r="G46" s="140">
        <f t="shared" si="1"/>
        <v>480</v>
      </c>
      <c r="I46" s="141">
        <v>10</v>
      </c>
      <c r="J46" s="139"/>
      <c r="K46" s="140">
        <f t="shared" si="2"/>
        <v>0</v>
      </c>
    </row>
    <row r="47" spans="1:20" ht="54" customHeight="1" x14ac:dyDescent="0.35">
      <c r="A47" s="142" t="s">
        <v>24</v>
      </c>
      <c r="B47" s="144">
        <f>IF(B45&lt;B46,B46-B45,0)</f>
        <v>0</v>
      </c>
      <c r="C47" s="145"/>
      <c r="E47" s="141">
        <v>5</v>
      </c>
      <c r="F47" s="139">
        <f>SUM('1:31'!F47)</f>
        <v>46</v>
      </c>
      <c r="G47" s="140">
        <f t="shared" si="1"/>
        <v>230</v>
      </c>
      <c r="I47" s="141">
        <v>5</v>
      </c>
      <c r="J47" s="139"/>
      <c r="K47" s="140">
        <f t="shared" si="2"/>
        <v>0</v>
      </c>
    </row>
    <row r="48" spans="1:20" ht="36.75" customHeight="1" x14ac:dyDescent="0.35">
      <c r="A48" s="142" t="s">
        <v>7</v>
      </c>
      <c r="B48" s="144">
        <f>IF(B45&gt;B46,B45-B46,0)</f>
        <v>461.25</v>
      </c>
      <c r="C48" s="145"/>
      <c r="E48" s="141">
        <v>1</v>
      </c>
      <c r="F48" s="139">
        <f>SUM('1:31'!F48)</f>
        <v>653</v>
      </c>
      <c r="G48" s="140">
        <f t="shared" si="1"/>
        <v>653</v>
      </c>
      <c r="I48" s="141">
        <v>1</v>
      </c>
      <c r="J48" s="139"/>
      <c r="K48" s="140">
        <f t="shared" si="2"/>
        <v>0</v>
      </c>
    </row>
    <row r="49" spans="1:14" ht="45" customHeight="1" thickBot="1" x14ac:dyDescent="0.4">
      <c r="A49" s="146" t="s">
        <v>29</v>
      </c>
      <c r="B49" s="147" t="b">
        <f>B45=B46</f>
        <v>0</v>
      </c>
      <c r="C49" s="148"/>
      <c r="E49" s="173" t="s">
        <v>25</v>
      </c>
      <c r="F49" s="174"/>
      <c r="G49" s="149">
        <f>SUM(G42:G48)</f>
        <v>33203</v>
      </c>
      <c r="I49" s="173" t="s">
        <v>25</v>
      </c>
      <c r="J49" s="174"/>
      <c r="K49" s="149">
        <f>SUM(K42:K48)</f>
        <v>0</v>
      </c>
    </row>
    <row r="50" spans="1:14" ht="21.75" thickTop="1" x14ac:dyDescent="0.35"/>
    <row r="53" spans="1:14" ht="53.25" customHeight="1" x14ac:dyDescent="0.35">
      <c r="A53" s="172" t="s">
        <v>41</v>
      </c>
      <c r="B53" s="172"/>
      <c r="C53" s="172"/>
      <c r="D53" s="172"/>
      <c r="E53" s="172"/>
      <c r="J53" s="150"/>
      <c r="K53" s="150"/>
      <c r="L53" s="150"/>
    </row>
    <row r="54" spans="1:14" s="122" customFormat="1" ht="66.75" customHeight="1" x14ac:dyDescent="0.25">
      <c r="A54" s="151" t="s">
        <v>4</v>
      </c>
      <c r="B54" s="151" t="s">
        <v>42</v>
      </c>
      <c r="C54" s="151" t="s">
        <v>43</v>
      </c>
      <c r="D54" s="151" t="s">
        <v>44</v>
      </c>
      <c r="E54" s="151" t="s">
        <v>1</v>
      </c>
      <c r="K54" s="150"/>
      <c r="L54" s="150"/>
      <c r="M54" s="152"/>
      <c r="N54" s="152"/>
    </row>
    <row r="55" spans="1:14" ht="33.75" customHeight="1" x14ac:dyDescent="0.35">
      <c r="A55" s="153">
        <v>45078</v>
      </c>
      <c r="B55" s="139">
        <f>'1'!G49</f>
        <v>1973</v>
      </c>
      <c r="C55" s="139"/>
      <c r="D55" s="139">
        <f>B55</f>
        <v>1973</v>
      </c>
      <c r="E55" s="151" t="s">
        <v>89</v>
      </c>
      <c r="K55" s="150"/>
      <c r="L55" s="150"/>
      <c r="M55" s="152"/>
      <c r="N55" s="152"/>
    </row>
    <row r="56" spans="1:14" ht="33.75" customHeight="1" x14ac:dyDescent="0.35">
      <c r="A56" s="153">
        <v>45079</v>
      </c>
      <c r="B56" s="139">
        <f>'2'!G49</f>
        <v>365</v>
      </c>
      <c r="C56" s="139"/>
      <c r="D56" s="139">
        <f>D55+B56-C56</f>
        <v>2338</v>
      </c>
      <c r="E56" s="154"/>
      <c r="K56" s="150"/>
      <c r="L56" s="150"/>
      <c r="M56" s="152"/>
      <c r="N56" s="152"/>
    </row>
    <row r="57" spans="1:14" ht="33.75" customHeight="1" x14ac:dyDescent="0.35">
      <c r="A57" s="153">
        <v>45080</v>
      </c>
      <c r="B57" s="139">
        <f>'3'!G49</f>
        <v>1598</v>
      </c>
      <c r="C57" s="139"/>
      <c r="D57" s="139">
        <f t="shared" ref="D57:D86" si="3">D56+B57-C57</f>
        <v>3936</v>
      </c>
      <c r="E57" s="154"/>
      <c r="K57" s="150"/>
      <c r="L57" s="150"/>
      <c r="M57" s="152"/>
      <c r="N57" s="152"/>
    </row>
    <row r="58" spans="1:14" ht="33.75" customHeight="1" x14ac:dyDescent="0.35">
      <c r="A58" s="153">
        <v>45081</v>
      </c>
      <c r="B58" s="139">
        <f>'4'!G49</f>
        <v>1970</v>
      </c>
      <c r="C58" s="139"/>
      <c r="D58" s="139">
        <f t="shared" si="3"/>
        <v>5906</v>
      </c>
      <c r="E58" s="155" t="s">
        <v>128</v>
      </c>
      <c r="K58" s="156"/>
      <c r="L58" s="150"/>
      <c r="M58" s="152"/>
      <c r="N58" s="152"/>
    </row>
    <row r="59" spans="1:14" ht="33.75" customHeight="1" x14ac:dyDescent="0.35">
      <c r="A59" s="153">
        <v>45082</v>
      </c>
      <c r="B59" s="139">
        <f>'5'!G49</f>
        <v>1987</v>
      </c>
      <c r="C59" s="139"/>
      <c r="D59" s="139">
        <f t="shared" si="3"/>
        <v>7893</v>
      </c>
      <c r="E59" s="155" t="s">
        <v>147</v>
      </c>
      <c r="K59" s="156"/>
      <c r="L59" s="156"/>
      <c r="M59" s="152"/>
      <c r="N59" s="152"/>
    </row>
    <row r="60" spans="1:14" ht="33.75" customHeight="1" x14ac:dyDescent="0.35">
      <c r="A60" s="153">
        <v>45083</v>
      </c>
      <c r="B60" s="139">
        <f>'6'!G49</f>
        <v>974</v>
      </c>
      <c r="C60" s="139"/>
      <c r="D60" s="139">
        <f t="shared" si="3"/>
        <v>8867</v>
      </c>
      <c r="E60" s="155" t="s">
        <v>148</v>
      </c>
      <c r="K60" s="156"/>
      <c r="L60" s="156"/>
      <c r="M60" s="156"/>
      <c r="N60" s="156"/>
    </row>
    <row r="61" spans="1:14" ht="33.75" customHeight="1" x14ac:dyDescent="0.35">
      <c r="A61" s="153">
        <v>45084</v>
      </c>
      <c r="B61" s="139">
        <f>'7'!G49</f>
        <v>1024</v>
      </c>
      <c r="C61" s="139"/>
      <c r="D61" s="139">
        <f t="shared" si="3"/>
        <v>9891</v>
      </c>
      <c r="E61" s="155"/>
      <c r="K61" s="156"/>
    </row>
    <row r="62" spans="1:14" ht="33.75" customHeight="1" x14ac:dyDescent="0.35">
      <c r="A62" s="153">
        <v>45085</v>
      </c>
      <c r="B62" s="139">
        <f>'8'!G49</f>
        <v>1113</v>
      </c>
      <c r="C62" s="139"/>
      <c r="D62" s="139">
        <f t="shared" si="3"/>
        <v>11004</v>
      </c>
      <c r="E62" s="155" t="s">
        <v>194</v>
      </c>
    </row>
    <row r="63" spans="1:14" ht="33.75" customHeight="1" x14ac:dyDescent="0.35">
      <c r="A63" s="153">
        <v>45055</v>
      </c>
      <c r="B63" s="139">
        <f>'9'!G49</f>
        <v>372</v>
      </c>
      <c r="C63" s="139"/>
      <c r="D63" s="139">
        <f t="shared" si="3"/>
        <v>11376</v>
      </c>
      <c r="E63" s="155" t="s">
        <v>198</v>
      </c>
    </row>
    <row r="64" spans="1:14" ht="33.75" customHeight="1" x14ac:dyDescent="0.35">
      <c r="A64" s="153">
        <v>45087</v>
      </c>
      <c r="B64" s="139">
        <f>'10'!G49</f>
        <v>522</v>
      </c>
      <c r="C64" s="139"/>
      <c r="D64" s="139">
        <f t="shared" si="3"/>
        <v>11898</v>
      </c>
      <c r="E64" s="155" t="s">
        <v>244</v>
      </c>
      <c r="J64" s="156"/>
    </row>
    <row r="65" spans="1:5" ht="33.75" customHeight="1" x14ac:dyDescent="0.35">
      <c r="A65" s="153">
        <v>45088</v>
      </c>
      <c r="B65" s="139">
        <f>'11'!G49</f>
        <v>3373</v>
      </c>
      <c r="C65" s="139"/>
      <c r="D65" s="139">
        <f t="shared" si="3"/>
        <v>15271</v>
      </c>
      <c r="E65" s="155"/>
    </row>
    <row r="66" spans="1:5" ht="33.75" customHeight="1" x14ac:dyDescent="0.35">
      <c r="A66" s="153">
        <v>45089</v>
      </c>
      <c r="B66" s="139">
        <f>'12'!G49</f>
        <v>1557</v>
      </c>
      <c r="C66" s="139"/>
      <c r="D66" s="139">
        <f t="shared" si="3"/>
        <v>16828</v>
      </c>
      <c r="E66" s="155" t="s">
        <v>245</v>
      </c>
    </row>
    <row r="67" spans="1:5" ht="33.75" customHeight="1" x14ac:dyDescent="0.35">
      <c r="A67" s="153">
        <v>45090</v>
      </c>
      <c r="B67" s="139">
        <f>'13'!G49</f>
        <v>1721</v>
      </c>
      <c r="C67" s="139"/>
      <c r="D67" s="139">
        <f t="shared" si="3"/>
        <v>18549</v>
      </c>
      <c r="E67" s="155"/>
    </row>
    <row r="68" spans="1:5" ht="33.75" customHeight="1" x14ac:dyDescent="0.35">
      <c r="A68" s="153" t="s">
        <v>256</v>
      </c>
      <c r="B68" s="139">
        <f>'14'!G49</f>
        <v>2316</v>
      </c>
      <c r="C68" s="139"/>
      <c r="D68" s="139">
        <f t="shared" si="3"/>
        <v>20865</v>
      </c>
      <c r="E68" s="155"/>
    </row>
    <row r="69" spans="1:5" ht="33.75" customHeight="1" x14ac:dyDescent="0.35">
      <c r="A69" s="153">
        <v>45092</v>
      </c>
      <c r="B69" s="139">
        <f>'15'!G49</f>
        <v>3803</v>
      </c>
      <c r="C69" s="139"/>
      <c r="D69" s="139">
        <f t="shared" si="3"/>
        <v>24668</v>
      </c>
      <c r="E69" s="155" t="s">
        <v>257</v>
      </c>
    </row>
    <row r="70" spans="1:5" ht="33.75" customHeight="1" x14ac:dyDescent="0.35">
      <c r="A70" s="153">
        <v>45094</v>
      </c>
      <c r="B70" s="139">
        <v>736</v>
      </c>
      <c r="C70" s="139"/>
      <c r="D70" s="139">
        <f t="shared" si="3"/>
        <v>25404</v>
      </c>
      <c r="E70" s="155"/>
    </row>
    <row r="71" spans="1:5" ht="33.75" customHeight="1" x14ac:dyDescent="0.35">
      <c r="A71" s="153">
        <v>45095</v>
      </c>
      <c r="B71" s="139">
        <v>950</v>
      </c>
      <c r="C71" s="139"/>
      <c r="D71" s="139">
        <f t="shared" si="3"/>
        <v>26354</v>
      </c>
      <c r="E71" s="155"/>
    </row>
    <row r="72" spans="1:5" ht="33.75" customHeight="1" x14ac:dyDescent="0.35">
      <c r="A72" s="153">
        <v>45096</v>
      </c>
      <c r="B72" s="139">
        <v>1240</v>
      </c>
      <c r="C72" s="139"/>
      <c r="D72" s="139">
        <f t="shared" si="3"/>
        <v>27594</v>
      </c>
      <c r="E72" s="155"/>
    </row>
    <row r="73" spans="1:5" ht="33.75" customHeight="1" x14ac:dyDescent="0.35">
      <c r="A73" s="153">
        <v>45097</v>
      </c>
      <c r="B73" s="139">
        <v>290</v>
      </c>
      <c r="C73" s="139"/>
      <c r="D73" s="139">
        <f t="shared" si="3"/>
        <v>27884</v>
      </c>
      <c r="E73" s="155"/>
    </row>
    <row r="74" spans="1:5" ht="33.75" customHeight="1" x14ac:dyDescent="0.35">
      <c r="A74" s="153">
        <v>45098</v>
      </c>
      <c r="B74" s="139">
        <v>400</v>
      </c>
      <c r="C74" s="139"/>
      <c r="D74" s="139">
        <f t="shared" si="3"/>
        <v>28284</v>
      </c>
      <c r="E74" s="155"/>
    </row>
    <row r="75" spans="1:5" ht="33.75" customHeight="1" x14ac:dyDescent="0.35">
      <c r="A75" s="153">
        <v>45099</v>
      </c>
      <c r="B75" s="139">
        <v>1501</v>
      </c>
      <c r="C75" s="139"/>
      <c r="D75" s="139">
        <f t="shared" si="3"/>
        <v>29785</v>
      </c>
      <c r="E75" s="155"/>
    </row>
    <row r="76" spans="1:5" ht="33.75" customHeight="1" x14ac:dyDescent="0.35">
      <c r="A76" s="153">
        <v>45100</v>
      </c>
      <c r="B76" s="139">
        <v>1360</v>
      </c>
      <c r="C76" s="139"/>
      <c r="D76" s="139">
        <f t="shared" si="3"/>
        <v>31145</v>
      </c>
      <c r="E76" s="155"/>
    </row>
    <row r="77" spans="1:5" ht="33.75" customHeight="1" x14ac:dyDescent="0.35">
      <c r="A77" s="153">
        <v>45101</v>
      </c>
      <c r="B77" s="139">
        <v>591</v>
      </c>
      <c r="C77" s="139"/>
      <c r="D77" s="139">
        <f t="shared" si="3"/>
        <v>31736</v>
      </c>
      <c r="E77" s="155"/>
    </row>
    <row r="78" spans="1:5" ht="33.75" customHeight="1" x14ac:dyDescent="0.35">
      <c r="A78" s="153">
        <v>45102</v>
      </c>
      <c r="B78" s="139">
        <v>710</v>
      </c>
      <c r="C78" s="139"/>
      <c r="D78" s="139">
        <f t="shared" si="3"/>
        <v>32446</v>
      </c>
      <c r="E78" s="155"/>
    </row>
    <row r="79" spans="1:5" ht="33.75" customHeight="1" x14ac:dyDescent="0.35">
      <c r="A79" s="153">
        <v>45103</v>
      </c>
      <c r="B79" s="139">
        <v>0</v>
      </c>
      <c r="C79" s="139"/>
      <c r="D79" s="139">
        <f t="shared" si="3"/>
        <v>32446</v>
      </c>
      <c r="E79" s="155" t="s">
        <v>317</v>
      </c>
    </row>
    <row r="80" spans="1:5" ht="33.75" customHeight="1" x14ac:dyDescent="0.35">
      <c r="A80" s="153">
        <v>45104</v>
      </c>
      <c r="B80" s="139"/>
      <c r="C80" s="139"/>
      <c r="D80" s="139">
        <f t="shared" si="3"/>
        <v>32446</v>
      </c>
      <c r="E80" s="155" t="s">
        <v>301</v>
      </c>
    </row>
    <row r="81" spans="1:5" ht="33.75" customHeight="1" x14ac:dyDescent="0.35">
      <c r="A81" s="153">
        <v>45105</v>
      </c>
      <c r="B81" s="139"/>
      <c r="C81" s="139"/>
      <c r="D81" s="139">
        <f t="shared" si="3"/>
        <v>32446</v>
      </c>
      <c r="E81" s="155" t="s">
        <v>301</v>
      </c>
    </row>
    <row r="82" spans="1:5" ht="33.75" customHeight="1" x14ac:dyDescent="0.35">
      <c r="A82" s="153">
        <v>45106</v>
      </c>
      <c r="B82" s="139">
        <v>140</v>
      </c>
      <c r="C82" s="139"/>
      <c r="D82" s="139">
        <f t="shared" si="3"/>
        <v>32586</v>
      </c>
      <c r="E82" s="155"/>
    </row>
    <row r="83" spans="1:5" ht="33.75" customHeight="1" x14ac:dyDescent="0.35">
      <c r="A83" s="153">
        <v>45107</v>
      </c>
      <c r="B83" s="139">
        <v>617</v>
      </c>
      <c r="C83" s="139"/>
      <c r="D83" s="139">
        <f t="shared" si="3"/>
        <v>33203</v>
      </c>
      <c r="E83" s="155"/>
    </row>
    <row r="84" spans="1:5" ht="33.75" customHeight="1" x14ac:dyDescent="0.35">
      <c r="A84" s="153"/>
      <c r="B84" s="139"/>
      <c r="C84" s="139"/>
      <c r="D84" s="139">
        <f t="shared" si="3"/>
        <v>33203</v>
      </c>
      <c r="E84" s="155"/>
    </row>
    <row r="85" spans="1:5" ht="33.75" customHeight="1" x14ac:dyDescent="0.35">
      <c r="A85" s="153"/>
      <c r="B85" s="139"/>
      <c r="C85" s="139"/>
      <c r="D85" s="139">
        <f t="shared" si="3"/>
        <v>33203</v>
      </c>
      <c r="E85" s="155"/>
    </row>
    <row r="86" spans="1:5" ht="33.75" customHeight="1" x14ac:dyDescent="0.35">
      <c r="A86" s="153"/>
      <c r="B86" s="139"/>
      <c r="C86" s="139"/>
      <c r="D86" s="139">
        <f t="shared" si="3"/>
        <v>33203</v>
      </c>
      <c r="E86" s="155"/>
    </row>
    <row r="87" spans="1:5" ht="21.75" customHeight="1" x14ac:dyDescent="0.35">
      <c r="B87" s="150"/>
      <c r="C87" s="150"/>
      <c r="D87" s="150"/>
    </row>
    <row r="88" spans="1:5" ht="21.75" customHeight="1" x14ac:dyDescent="0.35">
      <c r="B88" s="150"/>
      <c r="C88" s="150"/>
      <c r="D88" s="150"/>
    </row>
    <row r="89" spans="1:5" ht="21.75" customHeight="1" x14ac:dyDescent="0.35">
      <c r="B89" s="150"/>
      <c r="C89" s="150"/>
      <c r="D89" s="150"/>
    </row>
    <row r="90" spans="1:5" ht="21.75" customHeight="1" x14ac:dyDescent="0.35">
      <c r="B90" s="150"/>
      <c r="C90" s="150"/>
      <c r="D90" s="150"/>
    </row>
    <row r="91" spans="1:5" ht="21.75" customHeight="1" x14ac:dyDescent="0.35"/>
    <row r="92" spans="1:5" ht="21.75" customHeight="1" x14ac:dyDescent="0.35"/>
    <row r="93" spans="1:5" ht="21.75" customHeight="1" x14ac:dyDescent="0.35"/>
    <row r="94" spans="1:5" ht="21.75" customHeight="1" x14ac:dyDescent="0.35"/>
    <row r="95" spans="1:5" ht="21.75" customHeight="1" x14ac:dyDescent="0.35"/>
    <row r="96" spans="1:5" ht="21.75" customHeight="1" x14ac:dyDescent="0.35"/>
  </sheetData>
  <mergeCells count="7">
    <mergeCell ref="A53:E53"/>
    <mergeCell ref="E49:F49"/>
    <mergeCell ref="E2:L2"/>
    <mergeCell ref="A39:C39"/>
    <mergeCell ref="I49:J49"/>
    <mergeCell ref="B41:C41"/>
    <mergeCell ref="A2:D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8" scale="27" orientation="landscape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19"/>
  <sheetViews>
    <sheetView rightToLeft="1" workbookViewId="0">
      <selection activeCell="F17" sqref="F17"/>
    </sheetView>
  </sheetViews>
  <sheetFormatPr defaultRowHeight="15" x14ac:dyDescent="0.25"/>
  <cols>
    <col min="2" max="2" width="14.7109375" customWidth="1"/>
    <col min="3" max="3" width="18.42578125" customWidth="1"/>
    <col min="4" max="4" width="19.7109375" customWidth="1"/>
  </cols>
  <sheetData>
    <row r="2" spans="2:4" ht="18.75" x14ac:dyDescent="0.3">
      <c r="B2" s="183" t="s">
        <v>179</v>
      </c>
      <c r="C2" s="184"/>
      <c r="D2" s="185"/>
    </row>
    <row r="3" spans="2:4" ht="23.25" customHeight="1" x14ac:dyDescent="0.25">
      <c r="B3" s="75" t="s">
        <v>47</v>
      </c>
      <c r="C3" s="75" t="s">
        <v>180</v>
      </c>
      <c r="D3" s="75" t="s">
        <v>181</v>
      </c>
    </row>
    <row r="4" spans="2:4" x14ac:dyDescent="0.25">
      <c r="B4" s="58">
        <v>45079</v>
      </c>
      <c r="C4" s="16">
        <v>2000</v>
      </c>
      <c r="D4" s="16" t="s">
        <v>264</v>
      </c>
    </row>
    <row r="5" spans="2:4" x14ac:dyDescent="0.25">
      <c r="B5" s="58">
        <v>45082</v>
      </c>
      <c r="C5" s="16">
        <v>500</v>
      </c>
      <c r="D5" s="16" t="s">
        <v>182</v>
      </c>
    </row>
    <row r="6" spans="2:4" x14ac:dyDescent="0.25">
      <c r="B6" s="58">
        <v>45083</v>
      </c>
      <c r="C6" s="16">
        <v>2000</v>
      </c>
      <c r="D6" s="16" t="s">
        <v>183</v>
      </c>
    </row>
    <row r="7" spans="2:4" x14ac:dyDescent="0.25">
      <c r="B7" s="58">
        <v>45086</v>
      </c>
      <c r="C7" s="16">
        <v>2000</v>
      </c>
      <c r="D7" s="16" t="s">
        <v>264</v>
      </c>
    </row>
    <row r="8" spans="2:4" x14ac:dyDescent="0.25">
      <c r="B8" s="58">
        <v>45091</v>
      </c>
      <c r="C8" s="16">
        <v>400</v>
      </c>
      <c r="D8" s="16" t="s">
        <v>264</v>
      </c>
    </row>
    <row r="9" spans="2:4" x14ac:dyDescent="0.25">
      <c r="B9" s="58">
        <v>45092</v>
      </c>
      <c r="C9" s="16">
        <v>2000</v>
      </c>
      <c r="D9" s="16" t="s">
        <v>183</v>
      </c>
    </row>
    <row r="10" spans="2:4" x14ac:dyDescent="0.25">
      <c r="B10" s="58">
        <v>45092</v>
      </c>
      <c r="C10" s="16">
        <v>2000</v>
      </c>
      <c r="D10" s="16" t="s">
        <v>264</v>
      </c>
    </row>
    <row r="11" spans="2:4" x14ac:dyDescent="0.25">
      <c r="B11" s="58">
        <v>45097</v>
      </c>
      <c r="C11" s="16">
        <v>2000</v>
      </c>
      <c r="D11" s="16" t="s">
        <v>183</v>
      </c>
    </row>
    <row r="12" spans="2:4" x14ac:dyDescent="0.25">
      <c r="B12" s="58">
        <v>45103</v>
      </c>
      <c r="C12" s="16">
        <v>2000</v>
      </c>
      <c r="D12" s="16" t="s">
        <v>183</v>
      </c>
    </row>
    <row r="13" spans="2:4" x14ac:dyDescent="0.25">
      <c r="B13" s="16"/>
      <c r="C13" s="16">
        <f>SUM(C4:C12)</f>
        <v>14900</v>
      </c>
      <c r="D13" s="16" t="s">
        <v>178</v>
      </c>
    </row>
    <row r="14" spans="2:4" x14ac:dyDescent="0.25">
      <c r="B14" s="16"/>
      <c r="C14" s="16"/>
      <c r="D14" s="16"/>
    </row>
    <row r="15" spans="2:4" x14ac:dyDescent="0.25">
      <c r="B15" s="16"/>
      <c r="C15" s="16"/>
      <c r="D15" s="16"/>
    </row>
    <row r="16" spans="2:4" x14ac:dyDescent="0.25">
      <c r="B16" s="16"/>
      <c r="C16" s="16"/>
      <c r="D16" s="16"/>
    </row>
    <row r="17" spans="2:4" x14ac:dyDescent="0.25">
      <c r="B17" s="16"/>
      <c r="C17" s="16"/>
      <c r="D17" s="16"/>
    </row>
    <row r="18" spans="2:4" x14ac:dyDescent="0.25">
      <c r="B18" s="16"/>
      <c r="C18" s="16"/>
      <c r="D18" s="16"/>
    </row>
    <row r="19" spans="2:4" x14ac:dyDescent="0.25">
      <c r="B19" s="16"/>
      <c r="C19" s="16"/>
      <c r="D19" s="16"/>
    </row>
  </sheetData>
  <mergeCells count="1">
    <mergeCell ref="B2:D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landscape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U40"/>
  <sheetViews>
    <sheetView rightToLeft="1" tabSelected="1" topLeftCell="K1" workbookViewId="0">
      <pane ySplit="4" topLeftCell="A5" activePane="bottomLeft" state="frozen"/>
      <selection pane="bottomLeft" activeCell="U12" sqref="U12"/>
    </sheetView>
  </sheetViews>
  <sheetFormatPr defaultRowHeight="15" x14ac:dyDescent="0.25"/>
  <cols>
    <col min="2" max="2" width="12.7109375" customWidth="1"/>
    <col min="3" max="3" width="12.7109375" bestFit="1" customWidth="1"/>
    <col min="4" max="4" width="9.28515625" bestFit="1" customWidth="1"/>
    <col min="5" max="5" width="15.5703125" bestFit="1" customWidth="1"/>
    <col min="6" max="6" width="11.5703125" bestFit="1" customWidth="1"/>
    <col min="7" max="7" width="9.28515625" bestFit="1" customWidth="1"/>
    <col min="8" max="8" width="15.5703125" bestFit="1" customWidth="1"/>
    <col min="9" max="9" width="10" bestFit="1" customWidth="1"/>
    <col min="10" max="10" width="9.28515625" bestFit="1" customWidth="1"/>
    <col min="11" max="11" width="11.7109375" bestFit="1" customWidth="1"/>
    <col min="12" max="12" width="11.5703125" bestFit="1" customWidth="1"/>
    <col min="13" max="13" width="9.28515625" bestFit="1" customWidth="1"/>
    <col min="14" max="14" width="14.140625" bestFit="1" customWidth="1"/>
    <col min="15" max="15" width="15" bestFit="1" customWidth="1"/>
    <col min="16" max="16" width="17" customWidth="1"/>
    <col min="17" max="17" width="21.7109375" customWidth="1"/>
    <col min="18" max="18" width="11.5703125" bestFit="1" customWidth="1"/>
  </cols>
  <sheetData>
    <row r="2" spans="2:21" ht="15.75" thickBot="1" x14ac:dyDescent="0.3"/>
    <row r="3" spans="2:21" ht="21.75" customHeight="1" x14ac:dyDescent="0.3">
      <c r="B3" s="189" t="s">
        <v>47</v>
      </c>
      <c r="C3" s="193" t="s">
        <v>149</v>
      </c>
      <c r="D3" s="194"/>
      <c r="E3" s="195"/>
      <c r="F3" s="193" t="s">
        <v>103</v>
      </c>
      <c r="G3" s="194"/>
      <c r="H3" s="195"/>
      <c r="I3" s="193" t="s">
        <v>104</v>
      </c>
      <c r="J3" s="194"/>
      <c r="K3" s="195"/>
      <c r="L3" s="196" t="s">
        <v>152</v>
      </c>
      <c r="M3" s="196"/>
      <c r="N3" s="197"/>
      <c r="O3" s="191" t="s">
        <v>47</v>
      </c>
      <c r="P3" s="186" t="s">
        <v>153</v>
      </c>
      <c r="Q3" s="187"/>
      <c r="R3" s="188"/>
    </row>
    <row r="4" spans="2:21" ht="25.5" customHeight="1" x14ac:dyDescent="0.3">
      <c r="B4" s="190"/>
      <c r="C4" s="114" t="s">
        <v>105</v>
      </c>
      <c r="D4" s="114" t="s">
        <v>150</v>
      </c>
      <c r="E4" s="114" t="s">
        <v>151</v>
      </c>
      <c r="F4" s="114" t="s">
        <v>105</v>
      </c>
      <c r="G4" s="114" t="s">
        <v>150</v>
      </c>
      <c r="H4" s="114" t="s">
        <v>151</v>
      </c>
      <c r="I4" s="114" t="s">
        <v>105</v>
      </c>
      <c r="J4" s="114" t="s">
        <v>150</v>
      </c>
      <c r="K4" s="114" t="s">
        <v>151</v>
      </c>
      <c r="L4" s="114" t="s">
        <v>105</v>
      </c>
      <c r="M4" s="114" t="s">
        <v>150</v>
      </c>
      <c r="N4" s="115" t="s">
        <v>151</v>
      </c>
      <c r="O4" s="192"/>
      <c r="P4" s="103" t="s">
        <v>154</v>
      </c>
      <c r="Q4" s="103" t="s">
        <v>155</v>
      </c>
      <c r="R4" s="16" t="s">
        <v>265</v>
      </c>
    </row>
    <row r="5" spans="2:21" x14ac:dyDescent="0.25">
      <c r="B5" s="108">
        <v>45078</v>
      </c>
      <c r="C5" s="80">
        <v>14</v>
      </c>
      <c r="D5" s="80">
        <v>20</v>
      </c>
      <c r="E5" s="80">
        <f>C5*D5</f>
        <v>280</v>
      </c>
      <c r="F5" s="81">
        <f>19+23</f>
        <v>42</v>
      </c>
      <c r="G5" s="81">
        <v>25</v>
      </c>
      <c r="H5" s="81">
        <f>F5*G5</f>
        <v>1050</v>
      </c>
      <c r="I5" s="82">
        <v>2</v>
      </c>
      <c r="J5" s="82">
        <v>32</v>
      </c>
      <c r="K5" s="82">
        <f>I5*J5</f>
        <v>64</v>
      </c>
      <c r="L5" s="104">
        <v>6</v>
      </c>
      <c r="M5" s="104">
        <v>40</v>
      </c>
      <c r="N5" s="83">
        <f>L5*M5</f>
        <v>240</v>
      </c>
      <c r="O5" s="111">
        <v>45080</v>
      </c>
      <c r="P5" s="105" t="s">
        <v>176</v>
      </c>
      <c r="Q5" s="105" t="s">
        <v>177</v>
      </c>
      <c r="R5" s="16">
        <f>14+21</f>
        <v>35</v>
      </c>
      <c r="T5" t="s">
        <v>154</v>
      </c>
      <c r="U5" t="s">
        <v>155</v>
      </c>
    </row>
    <row r="6" spans="2:21" x14ac:dyDescent="0.25">
      <c r="B6" s="108">
        <v>45079</v>
      </c>
      <c r="C6" s="80">
        <f>24+6</f>
        <v>30</v>
      </c>
      <c r="D6" s="80">
        <v>20</v>
      </c>
      <c r="E6" s="80">
        <f t="shared" ref="E6:E34" si="0">C6*D6</f>
        <v>600</v>
      </c>
      <c r="F6" s="81">
        <f>17+5</f>
        <v>22</v>
      </c>
      <c r="G6" s="81">
        <v>25</v>
      </c>
      <c r="H6" s="81">
        <f t="shared" ref="H6:H34" si="1">F6*G6</f>
        <v>550</v>
      </c>
      <c r="I6" s="82">
        <v>0</v>
      </c>
      <c r="J6" s="82">
        <v>32</v>
      </c>
      <c r="K6" s="82">
        <f t="shared" ref="K6:K34" si="2">I6*J6</f>
        <v>0</v>
      </c>
      <c r="L6" s="104">
        <v>7</v>
      </c>
      <c r="M6" s="104">
        <v>40</v>
      </c>
      <c r="N6" s="83">
        <f t="shared" ref="N6:N34" si="3">L6*M6</f>
        <v>280</v>
      </c>
      <c r="O6" s="111">
        <v>45085</v>
      </c>
      <c r="P6" s="105" t="s">
        <v>185</v>
      </c>
      <c r="Q6" s="105" t="s">
        <v>186</v>
      </c>
      <c r="R6" s="16">
        <f>3+8</f>
        <v>11</v>
      </c>
      <c r="T6">
        <f>14+3+24+6+6+15</f>
        <v>68</v>
      </c>
      <c r="U6">
        <f>21+8+20+6+8+27</f>
        <v>90</v>
      </c>
    </row>
    <row r="7" spans="2:21" x14ac:dyDescent="0.25">
      <c r="B7" s="108">
        <v>45080</v>
      </c>
      <c r="C7" s="80">
        <f>12+18</f>
        <v>30</v>
      </c>
      <c r="D7" s="80">
        <v>20</v>
      </c>
      <c r="E7" s="80">
        <f t="shared" si="0"/>
        <v>600</v>
      </c>
      <c r="F7" s="81">
        <f>28+14</f>
        <v>42</v>
      </c>
      <c r="G7" s="81">
        <v>25</v>
      </c>
      <c r="H7" s="81">
        <f t="shared" si="1"/>
        <v>1050</v>
      </c>
      <c r="I7" s="82">
        <v>1</v>
      </c>
      <c r="J7" s="82">
        <v>32</v>
      </c>
      <c r="K7" s="82">
        <f t="shared" si="2"/>
        <v>32</v>
      </c>
      <c r="L7" s="104">
        <v>4</v>
      </c>
      <c r="M7" s="104">
        <v>40</v>
      </c>
      <c r="N7" s="83">
        <f t="shared" si="3"/>
        <v>160</v>
      </c>
      <c r="O7" s="111">
        <v>45087</v>
      </c>
      <c r="P7" s="105" t="s">
        <v>187</v>
      </c>
      <c r="Q7" s="105" t="s">
        <v>188</v>
      </c>
      <c r="R7" s="16">
        <f>24+20</f>
        <v>44</v>
      </c>
      <c r="T7">
        <f>T6*13</f>
        <v>884</v>
      </c>
      <c r="U7">
        <f>U6*13</f>
        <v>1170</v>
      </c>
    </row>
    <row r="8" spans="2:21" x14ac:dyDescent="0.25">
      <c r="B8" s="108">
        <v>45081</v>
      </c>
      <c r="C8" s="80">
        <f>20+16</f>
        <v>36</v>
      </c>
      <c r="D8" s="80">
        <v>20</v>
      </c>
      <c r="E8" s="80">
        <f t="shared" si="0"/>
        <v>720</v>
      </c>
      <c r="F8" s="81">
        <f>13+27</f>
        <v>40</v>
      </c>
      <c r="G8" s="81">
        <v>25</v>
      </c>
      <c r="H8" s="81">
        <f t="shared" si="1"/>
        <v>1000</v>
      </c>
      <c r="I8" s="82">
        <f>1+1</f>
        <v>2</v>
      </c>
      <c r="J8" s="82">
        <v>32</v>
      </c>
      <c r="K8" s="82">
        <f t="shared" si="2"/>
        <v>64</v>
      </c>
      <c r="L8" s="104">
        <f>7+1</f>
        <v>8</v>
      </c>
      <c r="M8" s="104">
        <v>40</v>
      </c>
      <c r="N8" s="83">
        <f t="shared" si="3"/>
        <v>320</v>
      </c>
      <c r="O8" s="111">
        <v>45095</v>
      </c>
      <c r="P8" s="105" t="s">
        <v>287</v>
      </c>
      <c r="Q8" s="105" t="s">
        <v>268</v>
      </c>
      <c r="R8" s="16">
        <v>12</v>
      </c>
      <c r="T8" s="123">
        <f>C35+I35</f>
        <v>724</v>
      </c>
      <c r="U8" s="123">
        <f>F35+L35</f>
        <v>842</v>
      </c>
    </row>
    <row r="9" spans="2:21" x14ac:dyDescent="0.25">
      <c r="B9" s="108">
        <v>45082</v>
      </c>
      <c r="C9" s="80">
        <f>11+16</f>
        <v>27</v>
      </c>
      <c r="D9" s="80">
        <v>20</v>
      </c>
      <c r="E9" s="80">
        <f t="shared" si="0"/>
        <v>540</v>
      </c>
      <c r="F9" s="81">
        <f>26+15</f>
        <v>41</v>
      </c>
      <c r="G9" s="81">
        <v>25</v>
      </c>
      <c r="H9" s="81">
        <f t="shared" si="1"/>
        <v>1025</v>
      </c>
      <c r="I9" s="82">
        <v>2</v>
      </c>
      <c r="J9" s="82">
        <v>32</v>
      </c>
      <c r="K9" s="82">
        <f t="shared" si="2"/>
        <v>64</v>
      </c>
      <c r="L9" s="104">
        <f>12+3</f>
        <v>15</v>
      </c>
      <c r="M9" s="104">
        <v>40</v>
      </c>
      <c r="N9" s="83">
        <f t="shared" si="3"/>
        <v>600</v>
      </c>
      <c r="O9" s="111">
        <v>45098</v>
      </c>
      <c r="P9" s="105" t="s">
        <v>287</v>
      </c>
      <c r="Q9" s="105" t="s">
        <v>279</v>
      </c>
      <c r="R9" s="16">
        <f>6+8</f>
        <v>14</v>
      </c>
      <c r="T9" s="123">
        <f>T8-T7</f>
        <v>-160</v>
      </c>
      <c r="U9" s="123">
        <f>U8-U7</f>
        <v>-328</v>
      </c>
    </row>
    <row r="10" spans="2:21" x14ac:dyDescent="0.25">
      <c r="B10" s="108">
        <v>45083</v>
      </c>
      <c r="C10" s="80">
        <f>15+16</f>
        <v>31</v>
      </c>
      <c r="D10" s="80">
        <v>20</v>
      </c>
      <c r="E10" s="80">
        <f t="shared" si="0"/>
        <v>620</v>
      </c>
      <c r="F10" s="81">
        <f>17+6+2</f>
        <v>25</v>
      </c>
      <c r="G10" s="81">
        <v>25</v>
      </c>
      <c r="H10" s="81">
        <f t="shared" si="1"/>
        <v>625</v>
      </c>
      <c r="I10" s="82">
        <v>0</v>
      </c>
      <c r="J10" s="82">
        <v>32</v>
      </c>
      <c r="K10" s="82">
        <f t="shared" si="2"/>
        <v>0</v>
      </c>
      <c r="L10" s="104">
        <f>3+3</f>
        <v>6</v>
      </c>
      <c r="M10" s="104">
        <v>40</v>
      </c>
      <c r="N10" s="83">
        <f t="shared" si="3"/>
        <v>240</v>
      </c>
      <c r="O10" s="111">
        <v>45101</v>
      </c>
      <c r="P10" s="105" t="s">
        <v>286</v>
      </c>
      <c r="Q10" s="105" t="s">
        <v>285</v>
      </c>
      <c r="R10" s="16">
        <f>15+27</f>
        <v>42</v>
      </c>
    </row>
    <row r="11" spans="2:21" x14ac:dyDescent="0.25">
      <c r="B11" s="108">
        <v>45084</v>
      </c>
      <c r="C11" s="80">
        <f>16+10</f>
        <v>26</v>
      </c>
      <c r="D11" s="80">
        <v>20</v>
      </c>
      <c r="E11" s="80">
        <f t="shared" si="0"/>
        <v>520</v>
      </c>
      <c r="F11" s="81">
        <f>28+9</f>
        <v>37</v>
      </c>
      <c r="G11" s="81">
        <v>25</v>
      </c>
      <c r="H11" s="81">
        <f t="shared" si="1"/>
        <v>925</v>
      </c>
      <c r="I11" s="82">
        <f>1+2</f>
        <v>3</v>
      </c>
      <c r="J11" s="82">
        <v>32</v>
      </c>
      <c r="K11" s="82">
        <f t="shared" si="2"/>
        <v>96</v>
      </c>
      <c r="L11" s="104">
        <f>2+1</f>
        <v>3</v>
      </c>
      <c r="M11" s="104">
        <v>40</v>
      </c>
      <c r="N11" s="83">
        <f t="shared" si="3"/>
        <v>120</v>
      </c>
      <c r="O11" s="111"/>
      <c r="P11" s="105"/>
      <c r="Q11" s="105"/>
      <c r="R11" s="16"/>
    </row>
    <row r="12" spans="2:21" x14ac:dyDescent="0.25">
      <c r="B12" s="108">
        <v>45085</v>
      </c>
      <c r="C12" s="80">
        <f>6+32</f>
        <v>38</v>
      </c>
      <c r="D12" s="80">
        <v>20</v>
      </c>
      <c r="E12" s="80">
        <f t="shared" si="0"/>
        <v>760</v>
      </c>
      <c r="F12" s="81">
        <f>12+29</f>
        <v>41</v>
      </c>
      <c r="G12" s="81">
        <v>25</v>
      </c>
      <c r="H12" s="81">
        <f t="shared" si="1"/>
        <v>1025</v>
      </c>
      <c r="I12" s="82">
        <f>2</f>
        <v>2</v>
      </c>
      <c r="J12" s="82">
        <v>32</v>
      </c>
      <c r="K12" s="82">
        <f t="shared" si="2"/>
        <v>64</v>
      </c>
      <c r="L12" s="104">
        <f>1+1</f>
        <v>2</v>
      </c>
      <c r="M12" s="104">
        <v>40</v>
      </c>
      <c r="N12" s="83">
        <f t="shared" si="3"/>
        <v>80</v>
      </c>
      <c r="O12" s="111"/>
      <c r="P12" s="105"/>
      <c r="Q12" s="105"/>
      <c r="R12" s="16"/>
      <c r="T12" t="s">
        <v>316</v>
      </c>
      <c r="U12" t="s">
        <v>315</v>
      </c>
    </row>
    <row r="13" spans="2:21" x14ac:dyDescent="0.25">
      <c r="B13" s="108">
        <v>45086</v>
      </c>
      <c r="C13" s="80">
        <f>12+5</f>
        <v>17</v>
      </c>
      <c r="D13" s="80">
        <v>20</v>
      </c>
      <c r="E13" s="80">
        <f t="shared" si="0"/>
        <v>340</v>
      </c>
      <c r="F13" s="81">
        <f>15+6</f>
        <v>21</v>
      </c>
      <c r="G13" s="81">
        <v>25</v>
      </c>
      <c r="H13" s="81">
        <f t="shared" si="1"/>
        <v>525</v>
      </c>
      <c r="I13" s="82">
        <v>0</v>
      </c>
      <c r="J13" s="82">
        <v>32</v>
      </c>
      <c r="K13" s="82">
        <f t="shared" si="2"/>
        <v>0</v>
      </c>
      <c r="L13" s="104">
        <v>1</v>
      </c>
      <c r="M13" s="104">
        <v>40</v>
      </c>
      <c r="N13" s="83">
        <f t="shared" si="3"/>
        <v>40</v>
      </c>
      <c r="O13" s="111"/>
      <c r="P13" s="105"/>
      <c r="Q13" s="105"/>
      <c r="R13" s="16"/>
    </row>
    <row r="14" spans="2:21" x14ac:dyDescent="0.25">
      <c r="B14" s="108">
        <v>45087</v>
      </c>
      <c r="C14" s="80">
        <v>32</v>
      </c>
      <c r="D14" s="80">
        <v>20</v>
      </c>
      <c r="E14" s="80">
        <f t="shared" si="0"/>
        <v>640</v>
      </c>
      <c r="F14" s="81">
        <v>21</v>
      </c>
      <c r="G14" s="81">
        <v>25</v>
      </c>
      <c r="H14" s="81">
        <f t="shared" si="1"/>
        <v>525</v>
      </c>
      <c r="I14" s="82">
        <v>0</v>
      </c>
      <c r="J14" s="82">
        <v>32</v>
      </c>
      <c r="K14" s="82">
        <f t="shared" si="2"/>
        <v>0</v>
      </c>
      <c r="L14" s="104">
        <v>7</v>
      </c>
      <c r="M14" s="104">
        <v>40</v>
      </c>
      <c r="N14" s="83">
        <f t="shared" si="3"/>
        <v>280</v>
      </c>
      <c r="O14" s="111"/>
      <c r="P14" s="105"/>
      <c r="Q14" s="105"/>
      <c r="R14" s="16"/>
    </row>
    <row r="15" spans="2:21" x14ac:dyDescent="0.25">
      <c r="B15" s="108">
        <v>45088</v>
      </c>
      <c r="C15" s="80">
        <v>32</v>
      </c>
      <c r="D15" s="80">
        <v>20</v>
      </c>
      <c r="E15" s="80">
        <f t="shared" si="0"/>
        <v>640</v>
      </c>
      <c r="F15" s="81">
        <v>34</v>
      </c>
      <c r="G15" s="81">
        <v>25</v>
      </c>
      <c r="H15" s="81">
        <f t="shared" si="1"/>
        <v>850</v>
      </c>
      <c r="I15" s="82">
        <v>1</v>
      </c>
      <c r="J15" s="82">
        <v>32</v>
      </c>
      <c r="K15" s="82">
        <f t="shared" si="2"/>
        <v>32</v>
      </c>
      <c r="L15" s="104">
        <v>4</v>
      </c>
      <c r="M15" s="104">
        <v>40</v>
      </c>
      <c r="N15" s="83">
        <f t="shared" si="3"/>
        <v>160</v>
      </c>
      <c r="O15" s="111"/>
      <c r="P15" s="105"/>
      <c r="Q15" s="105"/>
      <c r="R15" s="16"/>
    </row>
    <row r="16" spans="2:21" x14ac:dyDescent="0.25">
      <c r="B16" s="108">
        <v>45089</v>
      </c>
      <c r="C16" s="80">
        <f>18+17+1</f>
        <v>36</v>
      </c>
      <c r="D16" s="80">
        <v>20</v>
      </c>
      <c r="E16" s="80">
        <f t="shared" si="0"/>
        <v>720</v>
      </c>
      <c r="F16" s="81">
        <f>21+9+5</f>
        <v>35</v>
      </c>
      <c r="G16" s="81">
        <v>25</v>
      </c>
      <c r="H16" s="81">
        <f t="shared" si="1"/>
        <v>875</v>
      </c>
      <c r="I16" s="82">
        <v>1</v>
      </c>
      <c r="J16" s="82">
        <v>32</v>
      </c>
      <c r="K16" s="82">
        <f t="shared" si="2"/>
        <v>32</v>
      </c>
      <c r="L16" s="104">
        <f>5+1</f>
        <v>6</v>
      </c>
      <c r="M16" s="104">
        <v>40</v>
      </c>
      <c r="N16" s="83">
        <f t="shared" si="3"/>
        <v>240</v>
      </c>
      <c r="O16" s="111"/>
      <c r="P16" s="105"/>
      <c r="Q16" s="105"/>
      <c r="R16" s="16"/>
    </row>
    <row r="17" spans="2:18" x14ac:dyDescent="0.25">
      <c r="B17" s="108">
        <v>45090</v>
      </c>
      <c r="C17" s="80">
        <f>14+10</f>
        <v>24</v>
      </c>
      <c r="D17" s="80">
        <v>20</v>
      </c>
      <c r="E17" s="80">
        <f t="shared" si="0"/>
        <v>480</v>
      </c>
      <c r="F17" s="81">
        <f>14+17</f>
        <v>31</v>
      </c>
      <c r="G17" s="81">
        <v>25</v>
      </c>
      <c r="H17" s="81">
        <f t="shared" si="1"/>
        <v>775</v>
      </c>
      <c r="I17" s="82">
        <v>1</v>
      </c>
      <c r="J17" s="82">
        <v>32</v>
      </c>
      <c r="K17" s="82">
        <f t="shared" si="2"/>
        <v>32</v>
      </c>
      <c r="L17" s="104">
        <f>3+1</f>
        <v>4</v>
      </c>
      <c r="M17" s="104">
        <v>40</v>
      </c>
      <c r="N17" s="83">
        <f t="shared" si="3"/>
        <v>160</v>
      </c>
      <c r="O17" s="111"/>
      <c r="P17" s="105"/>
      <c r="Q17" s="105"/>
      <c r="R17" s="16"/>
    </row>
    <row r="18" spans="2:18" x14ac:dyDescent="0.25">
      <c r="B18" s="108">
        <v>45091</v>
      </c>
      <c r="C18" s="80">
        <f>13+16</f>
        <v>29</v>
      </c>
      <c r="D18" s="80">
        <v>20</v>
      </c>
      <c r="E18" s="80">
        <f t="shared" si="0"/>
        <v>580</v>
      </c>
      <c r="F18" s="81">
        <f>16+16</f>
        <v>32</v>
      </c>
      <c r="G18" s="81">
        <v>25</v>
      </c>
      <c r="H18" s="81">
        <f t="shared" si="1"/>
        <v>800</v>
      </c>
      <c r="I18" s="82">
        <f>1+1</f>
        <v>2</v>
      </c>
      <c r="J18" s="82">
        <v>32</v>
      </c>
      <c r="K18" s="82">
        <f t="shared" si="2"/>
        <v>64</v>
      </c>
      <c r="L18" s="104">
        <f>1+4+2</f>
        <v>7</v>
      </c>
      <c r="M18" s="104">
        <v>40</v>
      </c>
      <c r="N18" s="83">
        <f t="shared" si="3"/>
        <v>280</v>
      </c>
      <c r="O18" s="111"/>
      <c r="P18" s="105"/>
      <c r="Q18" s="105"/>
      <c r="R18" s="16"/>
    </row>
    <row r="19" spans="2:18" x14ac:dyDescent="0.25">
      <c r="B19" s="108" t="s">
        <v>263</v>
      </c>
      <c r="C19" s="80">
        <f>21+15</f>
        <v>36</v>
      </c>
      <c r="D19" s="80">
        <v>20</v>
      </c>
      <c r="E19" s="80">
        <f t="shared" si="0"/>
        <v>720</v>
      </c>
      <c r="F19" s="81">
        <f>27+14</f>
        <v>41</v>
      </c>
      <c r="G19" s="81">
        <v>25</v>
      </c>
      <c r="H19" s="81">
        <f t="shared" si="1"/>
        <v>1025</v>
      </c>
      <c r="I19" s="82">
        <v>3</v>
      </c>
      <c r="J19" s="82">
        <v>32</v>
      </c>
      <c r="K19" s="82">
        <f t="shared" si="2"/>
        <v>96</v>
      </c>
      <c r="L19" s="104">
        <f>3+2</f>
        <v>5</v>
      </c>
      <c r="M19" s="104">
        <v>40</v>
      </c>
      <c r="N19" s="83">
        <f t="shared" si="3"/>
        <v>200</v>
      </c>
      <c r="O19" s="111"/>
      <c r="P19" s="105"/>
      <c r="Q19" s="105"/>
      <c r="R19" s="16"/>
    </row>
    <row r="20" spans="2:18" x14ac:dyDescent="0.25">
      <c r="B20" s="108">
        <v>45093</v>
      </c>
      <c r="C20" s="80"/>
      <c r="D20" s="80">
        <v>20</v>
      </c>
      <c r="E20" s="80">
        <f t="shared" si="0"/>
        <v>0</v>
      </c>
      <c r="F20" s="81"/>
      <c r="G20" s="81">
        <v>25</v>
      </c>
      <c r="H20" s="81">
        <f t="shared" si="1"/>
        <v>0</v>
      </c>
      <c r="I20" s="82"/>
      <c r="J20" s="82">
        <v>32</v>
      </c>
      <c r="K20" s="82">
        <f t="shared" si="2"/>
        <v>0</v>
      </c>
      <c r="L20" s="104"/>
      <c r="M20" s="104">
        <v>40</v>
      </c>
      <c r="N20" s="83">
        <f t="shared" si="3"/>
        <v>0</v>
      </c>
      <c r="O20" s="111"/>
      <c r="P20" s="105"/>
      <c r="Q20" s="105"/>
      <c r="R20" s="16"/>
    </row>
    <row r="21" spans="2:18" x14ac:dyDescent="0.25">
      <c r="B21" s="108">
        <v>45094</v>
      </c>
      <c r="C21" s="80">
        <f>10+2</f>
        <v>12</v>
      </c>
      <c r="D21" s="80">
        <v>20</v>
      </c>
      <c r="E21" s="80">
        <f t="shared" si="0"/>
        <v>240</v>
      </c>
      <c r="F21" s="81">
        <f>15+2</f>
        <v>17</v>
      </c>
      <c r="G21" s="81">
        <v>25</v>
      </c>
      <c r="H21" s="81">
        <f t="shared" si="1"/>
        <v>425</v>
      </c>
      <c r="I21" s="82">
        <v>0</v>
      </c>
      <c r="J21" s="82">
        <v>32</v>
      </c>
      <c r="K21" s="82">
        <f t="shared" si="2"/>
        <v>0</v>
      </c>
      <c r="L21" s="104">
        <f>1+1</f>
        <v>2</v>
      </c>
      <c r="M21" s="104">
        <v>40</v>
      </c>
      <c r="N21" s="83">
        <f t="shared" si="3"/>
        <v>80</v>
      </c>
      <c r="O21" s="111"/>
      <c r="P21" s="105"/>
      <c r="Q21" s="105"/>
      <c r="R21" s="16"/>
    </row>
    <row r="22" spans="2:18" x14ac:dyDescent="0.25">
      <c r="B22" s="108">
        <v>45095</v>
      </c>
      <c r="C22" s="80">
        <f>13+10</f>
        <v>23</v>
      </c>
      <c r="D22" s="80">
        <v>20</v>
      </c>
      <c r="E22" s="80">
        <f t="shared" si="0"/>
        <v>460</v>
      </c>
      <c r="F22" s="81">
        <f>2+8</f>
        <v>10</v>
      </c>
      <c r="G22" s="81">
        <v>25</v>
      </c>
      <c r="H22" s="81">
        <f t="shared" si="1"/>
        <v>250</v>
      </c>
      <c r="I22" s="82">
        <v>0</v>
      </c>
      <c r="J22" s="82">
        <v>32</v>
      </c>
      <c r="K22" s="82">
        <f t="shared" si="2"/>
        <v>0</v>
      </c>
      <c r="L22" s="104">
        <v>2</v>
      </c>
      <c r="M22" s="104">
        <v>40</v>
      </c>
      <c r="N22" s="83">
        <f t="shared" si="3"/>
        <v>80</v>
      </c>
      <c r="O22" s="111"/>
      <c r="P22" s="105"/>
      <c r="Q22" s="105"/>
      <c r="R22" s="16"/>
    </row>
    <row r="23" spans="2:18" x14ac:dyDescent="0.25">
      <c r="B23" s="108">
        <v>45096</v>
      </c>
      <c r="C23" s="80">
        <f>9+27</f>
        <v>36</v>
      </c>
      <c r="D23" s="80">
        <v>20</v>
      </c>
      <c r="E23" s="80">
        <f t="shared" si="0"/>
        <v>720</v>
      </c>
      <c r="F23" s="81">
        <f>10+13</f>
        <v>23</v>
      </c>
      <c r="G23" s="81">
        <v>25</v>
      </c>
      <c r="H23" s="81">
        <f t="shared" si="1"/>
        <v>575</v>
      </c>
      <c r="I23" s="82">
        <f>1</f>
        <v>1</v>
      </c>
      <c r="J23" s="82">
        <v>32</v>
      </c>
      <c r="K23" s="82">
        <f t="shared" si="2"/>
        <v>32</v>
      </c>
      <c r="L23" s="104">
        <v>2</v>
      </c>
      <c r="M23" s="104">
        <v>40</v>
      </c>
      <c r="N23" s="83">
        <f t="shared" si="3"/>
        <v>80</v>
      </c>
      <c r="O23" s="111"/>
      <c r="P23" s="105"/>
      <c r="Q23" s="105"/>
      <c r="R23" s="16"/>
    </row>
    <row r="24" spans="2:18" x14ac:dyDescent="0.25">
      <c r="B24" s="108">
        <v>45097</v>
      </c>
      <c r="C24" s="80">
        <f>5+7</f>
        <v>12</v>
      </c>
      <c r="D24" s="80">
        <v>20</v>
      </c>
      <c r="E24" s="80">
        <f t="shared" si="0"/>
        <v>240</v>
      </c>
      <c r="F24" s="81">
        <f>11+9</f>
        <v>20</v>
      </c>
      <c r="G24" s="81">
        <v>25</v>
      </c>
      <c r="H24" s="81">
        <f t="shared" si="1"/>
        <v>500</v>
      </c>
      <c r="I24" s="82">
        <v>0</v>
      </c>
      <c r="J24" s="82">
        <v>32</v>
      </c>
      <c r="K24" s="82">
        <f t="shared" si="2"/>
        <v>0</v>
      </c>
      <c r="L24" s="104">
        <v>0</v>
      </c>
      <c r="M24" s="104">
        <v>40</v>
      </c>
      <c r="N24" s="83">
        <f t="shared" si="3"/>
        <v>0</v>
      </c>
      <c r="O24" s="111"/>
      <c r="P24" s="105"/>
      <c r="Q24" s="105"/>
      <c r="R24" s="16"/>
    </row>
    <row r="25" spans="2:18" x14ac:dyDescent="0.25">
      <c r="B25" s="108">
        <v>45098</v>
      </c>
      <c r="C25" s="80">
        <f>12+8</f>
        <v>20</v>
      </c>
      <c r="D25" s="80">
        <v>20</v>
      </c>
      <c r="E25" s="80">
        <f t="shared" si="0"/>
        <v>400</v>
      </c>
      <c r="F25" s="81">
        <f>7+7</f>
        <v>14</v>
      </c>
      <c r="G25" s="81">
        <v>25</v>
      </c>
      <c r="H25" s="81">
        <f t="shared" si="1"/>
        <v>350</v>
      </c>
      <c r="I25" s="82">
        <v>0</v>
      </c>
      <c r="J25" s="82">
        <v>32</v>
      </c>
      <c r="K25" s="82">
        <f t="shared" si="2"/>
        <v>0</v>
      </c>
      <c r="L25" s="104">
        <f>1+4</f>
        <v>5</v>
      </c>
      <c r="M25" s="104">
        <v>40</v>
      </c>
      <c r="N25" s="83">
        <f t="shared" si="3"/>
        <v>200</v>
      </c>
      <c r="O25" s="111"/>
      <c r="P25" s="105"/>
      <c r="Q25" s="105"/>
      <c r="R25" s="16"/>
    </row>
    <row r="26" spans="2:18" x14ac:dyDescent="0.25">
      <c r="B26" s="108">
        <v>45099</v>
      </c>
      <c r="C26" s="80">
        <f>24</f>
        <v>24</v>
      </c>
      <c r="D26" s="80">
        <v>20</v>
      </c>
      <c r="E26" s="80">
        <f t="shared" si="0"/>
        <v>480</v>
      </c>
      <c r="F26" s="81">
        <f>29+5</f>
        <v>34</v>
      </c>
      <c r="G26" s="81">
        <v>25</v>
      </c>
      <c r="H26" s="81">
        <f t="shared" si="1"/>
        <v>850</v>
      </c>
      <c r="I26" s="82">
        <v>1</v>
      </c>
      <c r="J26" s="82">
        <v>32</v>
      </c>
      <c r="K26" s="82">
        <f t="shared" si="2"/>
        <v>32</v>
      </c>
      <c r="L26" s="104">
        <v>4</v>
      </c>
      <c r="M26" s="104">
        <v>40</v>
      </c>
      <c r="N26" s="83">
        <f t="shared" si="3"/>
        <v>160</v>
      </c>
      <c r="O26" s="111"/>
      <c r="P26" s="105"/>
      <c r="Q26" s="105"/>
      <c r="R26" s="16"/>
    </row>
    <row r="27" spans="2:18" x14ac:dyDescent="0.25">
      <c r="B27" s="108">
        <v>45100</v>
      </c>
      <c r="C27" s="80">
        <v>26</v>
      </c>
      <c r="D27" s="80">
        <v>20</v>
      </c>
      <c r="E27" s="80">
        <f t="shared" si="0"/>
        <v>520</v>
      </c>
      <c r="F27" s="81">
        <v>21</v>
      </c>
      <c r="G27" s="81">
        <v>25</v>
      </c>
      <c r="H27" s="81">
        <f t="shared" si="1"/>
        <v>525</v>
      </c>
      <c r="I27" s="82">
        <v>6</v>
      </c>
      <c r="J27" s="82">
        <v>32</v>
      </c>
      <c r="K27" s="82">
        <f t="shared" si="2"/>
        <v>192</v>
      </c>
      <c r="L27" s="104">
        <v>3</v>
      </c>
      <c r="M27" s="104">
        <v>40</v>
      </c>
      <c r="N27" s="83">
        <f t="shared" si="3"/>
        <v>120</v>
      </c>
      <c r="O27" s="111"/>
      <c r="P27" s="105"/>
      <c r="Q27" s="105"/>
      <c r="R27" s="16"/>
    </row>
    <row r="28" spans="2:18" x14ac:dyDescent="0.25">
      <c r="B28" s="108">
        <v>45101</v>
      </c>
      <c r="C28" s="80">
        <f>11+11</f>
        <v>22</v>
      </c>
      <c r="D28" s="80">
        <v>20</v>
      </c>
      <c r="E28" s="80">
        <f t="shared" si="0"/>
        <v>440</v>
      </c>
      <c r="F28" s="81">
        <f>10+12</f>
        <v>22</v>
      </c>
      <c r="G28" s="81">
        <v>25</v>
      </c>
      <c r="H28" s="81">
        <f t="shared" si="1"/>
        <v>550</v>
      </c>
      <c r="I28" s="82">
        <v>0</v>
      </c>
      <c r="J28" s="82">
        <v>32</v>
      </c>
      <c r="K28" s="82">
        <f t="shared" si="2"/>
        <v>0</v>
      </c>
      <c r="L28" s="104">
        <v>0</v>
      </c>
      <c r="M28" s="104">
        <v>40</v>
      </c>
      <c r="N28" s="83">
        <f t="shared" si="3"/>
        <v>0</v>
      </c>
      <c r="O28" s="111"/>
      <c r="P28" s="105"/>
      <c r="Q28" s="105"/>
      <c r="R28" s="16"/>
    </row>
    <row r="29" spans="2:18" x14ac:dyDescent="0.25">
      <c r="B29" s="108">
        <v>45102</v>
      </c>
      <c r="C29" s="80">
        <f>17+13</f>
        <v>30</v>
      </c>
      <c r="D29" s="80">
        <v>20</v>
      </c>
      <c r="E29" s="80">
        <f t="shared" si="0"/>
        <v>600</v>
      </c>
      <c r="F29" s="81">
        <f>6+19</f>
        <v>25</v>
      </c>
      <c r="G29" s="81">
        <v>25</v>
      </c>
      <c r="H29" s="81">
        <f t="shared" si="1"/>
        <v>625</v>
      </c>
      <c r="I29" s="82">
        <f>2</f>
        <v>2</v>
      </c>
      <c r="J29" s="82">
        <v>32</v>
      </c>
      <c r="K29" s="82">
        <f t="shared" si="2"/>
        <v>64</v>
      </c>
      <c r="L29" s="104">
        <f>1</f>
        <v>1</v>
      </c>
      <c r="M29" s="104">
        <v>40</v>
      </c>
      <c r="N29" s="83">
        <f t="shared" si="3"/>
        <v>40</v>
      </c>
      <c r="O29" s="111"/>
      <c r="P29" s="105"/>
      <c r="Q29" s="105"/>
      <c r="R29" s="16"/>
    </row>
    <row r="30" spans="2:18" x14ac:dyDescent="0.25">
      <c r="B30" s="108">
        <v>45103</v>
      </c>
      <c r="C30" s="80">
        <v>37</v>
      </c>
      <c r="D30" s="80">
        <v>20</v>
      </c>
      <c r="E30" s="80">
        <f t="shared" si="0"/>
        <v>740</v>
      </c>
      <c r="F30" s="81">
        <v>25</v>
      </c>
      <c r="G30" s="81">
        <v>25</v>
      </c>
      <c r="H30" s="81">
        <f t="shared" si="1"/>
        <v>625</v>
      </c>
      <c r="I30" s="82">
        <v>0</v>
      </c>
      <c r="J30" s="82">
        <v>32</v>
      </c>
      <c r="K30" s="82">
        <f t="shared" si="2"/>
        <v>0</v>
      </c>
      <c r="L30" s="104">
        <v>3</v>
      </c>
      <c r="M30" s="104">
        <v>40</v>
      </c>
      <c r="N30" s="83">
        <f t="shared" si="3"/>
        <v>120</v>
      </c>
      <c r="O30" s="111"/>
      <c r="P30" s="105"/>
      <c r="Q30" s="105"/>
      <c r="R30" s="16"/>
    </row>
    <row r="31" spans="2:18" x14ac:dyDescent="0.25">
      <c r="B31" s="108">
        <v>45104</v>
      </c>
      <c r="C31" s="80">
        <v>0</v>
      </c>
      <c r="D31" s="80">
        <v>20</v>
      </c>
      <c r="E31" s="80">
        <f t="shared" si="0"/>
        <v>0</v>
      </c>
      <c r="F31" s="81">
        <v>0</v>
      </c>
      <c r="G31" s="81">
        <v>25</v>
      </c>
      <c r="H31" s="81">
        <f t="shared" si="1"/>
        <v>0</v>
      </c>
      <c r="I31" s="82">
        <v>0</v>
      </c>
      <c r="J31" s="82">
        <v>32</v>
      </c>
      <c r="K31" s="82">
        <f t="shared" si="2"/>
        <v>0</v>
      </c>
      <c r="L31" s="104">
        <v>0</v>
      </c>
      <c r="M31" s="104">
        <v>40</v>
      </c>
      <c r="N31" s="83">
        <f t="shared" si="3"/>
        <v>0</v>
      </c>
      <c r="O31" s="111"/>
      <c r="P31" s="105"/>
      <c r="Q31" s="105"/>
      <c r="R31" s="16"/>
    </row>
    <row r="32" spans="2:18" x14ac:dyDescent="0.25">
      <c r="B32" s="108">
        <v>45105</v>
      </c>
      <c r="C32" s="80">
        <v>0</v>
      </c>
      <c r="D32" s="80">
        <v>20</v>
      </c>
      <c r="E32" s="80">
        <f t="shared" si="0"/>
        <v>0</v>
      </c>
      <c r="F32" s="81">
        <v>0</v>
      </c>
      <c r="G32" s="81">
        <v>25</v>
      </c>
      <c r="H32" s="81">
        <f t="shared" si="1"/>
        <v>0</v>
      </c>
      <c r="I32" s="82">
        <v>0</v>
      </c>
      <c r="J32" s="82">
        <v>32</v>
      </c>
      <c r="K32" s="82">
        <f t="shared" si="2"/>
        <v>0</v>
      </c>
      <c r="L32" s="104">
        <v>0</v>
      </c>
      <c r="M32" s="104">
        <v>40</v>
      </c>
      <c r="N32" s="83">
        <f t="shared" si="3"/>
        <v>0</v>
      </c>
      <c r="O32" s="111"/>
      <c r="P32" s="105"/>
      <c r="Q32" s="105"/>
      <c r="R32" s="16"/>
    </row>
    <row r="33" spans="2:18" x14ac:dyDescent="0.25">
      <c r="B33" s="108">
        <v>45106</v>
      </c>
      <c r="C33" s="80">
        <v>5</v>
      </c>
      <c r="D33" s="80">
        <v>20</v>
      </c>
      <c r="E33" s="80">
        <f t="shared" si="0"/>
        <v>100</v>
      </c>
      <c r="F33" s="81">
        <v>7</v>
      </c>
      <c r="G33" s="81">
        <v>25</v>
      </c>
      <c r="H33" s="81">
        <f t="shared" si="1"/>
        <v>175</v>
      </c>
      <c r="I33" s="82">
        <v>0</v>
      </c>
      <c r="J33" s="82">
        <v>32</v>
      </c>
      <c r="K33" s="82">
        <f t="shared" si="2"/>
        <v>0</v>
      </c>
      <c r="L33" s="104">
        <v>1</v>
      </c>
      <c r="M33" s="104">
        <v>40</v>
      </c>
      <c r="N33" s="83">
        <f t="shared" si="3"/>
        <v>40</v>
      </c>
      <c r="O33" s="111"/>
      <c r="P33" s="105"/>
      <c r="Q33" s="105"/>
      <c r="R33" s="16"/>
    </row>
    <row r="34" spans="2:18" x14ac:dyDescent="0.25">
      <c r="B34" s="109">
        <v>45107</v>
      </c>
      <c r="C34" s="85">
        <v>9</v>
      </c>
      <c r="D34" s="85">
        <v>20</v>
      </c>
      <c r="E34" s="85">
        <f t="shared" si="0"/>
        <v>180</v>
      </c>
      <c r="F34" s="86">
        <v>11</v>
      </c>
      <c r="G34" s="86">
        <v>25</v>
      </c>
      <c r="H34" s="86">
        <f t="shared" si="1"/>
        <v>275</v>
      </c>
      <c r="I34" s="87">
        <v>0</v>
      </c>
      <c r="J34" s="87">
        <v>32</v>
      </c>
      <c r="K34" s="87">
        <f t="shared" si="2"/>
        <v>0</v>
      </c>
      <c r="L34" s="106">
        <v>0</v>
      </c>
      <c r="M34" s="106">
        <v>40</v>
      </c>
      <c r="N34" s="88">
        <f t="shared" si="3"/>
        <v>0</v>
      </c>
      <c r="O34" s="111"/>
      <c r="P34" s="105"/>
      <c r="Q34" s="105"/>
      <c r="R34" s="16"/>
    </row>
    <row r="35" spans="2:18" ht="26.25" customHeight="1" x14ac:dyDescent="0.35">
      <c r="B35" s="89" t="s">
        <v>178</v>
      </c>
      <c r="C35" s="89">
        <f>SUM(C5:C34)</f>
        <v>694</v>
      </c>
      <c r="D35" s="89">
        <v>0</v>
      </c>
      <c r="E35" s="107">
        <f>SUM(E5:E34)</f>
        <v>13880</v>
      </c>
      <c r="F35" s="107">
        <f>SUM(F5:F34)</f>
        <v>734</v>
      </c>
      <c r="G35" s="107"/>
      <c r="H35" s="107">
        <f>SUM(H5:H34)</f>
        <v>18350</v>
      </c>
      <c r="I35" s="107">
        <f>SUM(I5:I34)</f>
        <v>30</v>
      </c>
      <c r="J35" s="107"/>
      <c r="K35" s="107">
        <f>SUM(K5:K34)</f>
        <v>960</v>
      </c>
      <c r="L35" s="107">
        <f>SUM(L5:L34)</f>
        <v>108</v>
      </c>
      <c r="M35" s="107"/>
      <c r="N35" s="107">
        <f>SUM(N5:N34)</f>
        <v>4320</v>
      </c>
      <c r="O35" s="107"/>
      <c r="P35" s="107"/>
      <c r="Q35" s="107"/>
      <c r="R35" s="107">
        <f>SUM(R5:R34)</f>
        <v>158</v>
      </c>
    </row>
    <row r="36" spans="2:18" ht="15" customHeight="1" x14ac:dyDescent="0.25">
      <c r="B36" s="84"/>
      <c r="C36" s="84"/>
      <c r="D36" s="84"/>
    </row>
    <row r="38" spans="2:18" x14ac:dyDescent="0.25">
      <c r="B38" s="110">
        <f>C35+F35+I35+L35</f>
        <v>1566</v>
      </c>
      <c r="C38" t="s">
        <v>266</v>
      </c>
    </row>
    <row r="39" spans="2:18" x14ac:dyDescent="0.25">
      <c r="B39" s="112">
        <f>R35*13</f>
        <v>2054</v>
      </c>
      <c r="C39" t="s">
        <v>267</v>
      </c>
    </row>
    <row r="40" spans="2:18" x14ac:dyDescent="0.25">
      <c r="B40" s="113">
        <f>B38-B39</f>
        <v>-488</v>
      </c>
    </row>
  </sheetData>
  <mergeCells count="7">
    <mergeCell ref="P3:R3"/>
    <mergeCell ref="B3:B4"/>
    <mergeCell ref="O3:O4"/>
    <mergeCell ref="C3:E3"/>
    <mergeCell ref="F3:H3"/>
    <mergeCell ref="I3:K3"/>
    <mergeCell ref="L3:N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8" scale="80" orientation="landscape" verticalDpi="0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2"/>
  <sheetViews>
    <sheetView showGridLines="0" rightToLeft="1" topLeftCell="A4" workbookViewId="0">
      <selection activeCell="K13" sqref="K13"/>
    </sheetView>
  </sheetViews>
  <sheetFormatPr defaultRowHeight="15" x14ac:dyDescent="0.25"/>
  <cols>
    <col min="2" max="2" width="16" customWidth="1"/>
    <col min="3" max="4" width="12.7109375" customWidth="1"/>
    <col min="5" max="5" width="17.42578125" customWidth="1"/>
    <col min="6" max="6" width="16.140625" customWidth="1"/>
    <col min="7" max="7" width="25.85546875" customWidth="1"/>
    <col min="8" max="8" width="28.42578125" customWidth="1"/>
  </cols>
  <sheetData>
    <row r="2" spans="2:8" x14ac:dyDescent="0.25">
      <c r="B2" s="198" t="s">
        <v>54</v>
      </c>
      <c r="C2" s="198"/>
      <c r="D2" s="198"/>
      <c r="E2" s="198"/>
    </row>
    <row r="3" spans="2:8" x14ac:dyDescent="0.25">
      <c r="B3" s="198"/>
      <c r="C3" s="198"/>
      <c r="D3" s="198"/>
      <c r="E3" s="198"/>
      <c r="F3" s="199" t="s">
        <v>55</v>
      </c>
      <c r="G3" s="199"/>
      <c r="H3" s="199"/>
    </row>
    <row r="4" spans="2:8" x14ac:dyDescent="0.25">
      <c r="B4" s="198"/>
      <c r="C4" s="198"/>
      <c r="D4" s="198"/>
      <c r="E4" s="198"/>
      <c r="F4" s="199"/>
      <c r="G4" s="199"/>
      <c r="H4" s="199"/>
    </row>
    <row r="5" spans="2:8" x14ac:dyDescent="0.25">
      <c r="B5" s="198"/>
      <c r="C5" s="198"/>
      <c r="D5" s="198"/>
      <c r="E5" s="198"/>
      <c r="F5" s="199"/>
      <c r="G5" s="199"/>
      <c r="H5" s="199"/>
    </row>
    <row r="6" spans="2:8" ht="15.75" thickBot="1" x14ac:dyDescent="0.3">
      <c r="B6" s="29">
        <f ca="1">TODAY()</f>
        <v>45118</v>
      </c>
    </row>
    <row r="7" spans="2:8" ht="30" customHeight="1" x14ac:dyDescent="0.25">
      <c r="B7" s="39" t="s">
        <v>47</v>
      </c>
      <c r="C7" s="40" t="s">
        <v>48</v>
      </c>
      <c r="D7" s="40" t="s">
        <v>49</v>
      </c>
      <c r="E7" s="40" t="s">
        <v>52</v>
      </c>
      <c r="F7" s="40" t="s">
        <v>53</v>
      </c>
      <c r="G7" s="40" t="s">
        <v>50</v>
      </c>
      <c r="H7" s="41" t="s">
        <v>51</v>
      </c>
    </row>
    <row r="8" spans="2:8" x14ac:dyDescent="0.25">
      <c r="B8" s="42"/>
      <c r="C8" s="38"/>
      <c r="D8" s="38"/>
      <c r="E8" s="38"/>
      <c r="F8" s="38"/>
      <c r="G8" s="38"/>
      <c r="H8" s="43"/>
    </row>
    <row r="9" spans="2:8" x14ac:dyDescent="0.25">
      <c r="B9" s="42"/>
      <c r="C9" s="38"/>
      <c r="D9" s="38"/>
      <c r="E9" s="38"/>
      <c r="F9" s="38"/>
      <c r="G9" s="38"/>
      <c r="H9" s="43"/>
    </row>
    <row r="10" spans="2:8" x14ac:dyDescent="0.25">
      <c r="B10" s="42"/>
      <c r="C10" s="38"/>
      <c r="D10" s="38"/>
      <c r="E10" s="38"/>
      <c r="F10" s="38"/>
      <c r="G10" s="38"/>
      <c r="H10" s="43"/>
    </row>
    <row r="11" spans="2:8" x14ac:dyDescent="0.25">
      <c r="B11" s="42"/>
      <c r="C11" s="38"/>
      <c r="D11" s="38"/>
      <c r="E11" s="38"/>
      <c r="F11" s="38"/>
      <c r="G11" s="38"/>
      <c r="H11" s="43"/>
    </row>
    <row r="12" spans="2:8" x14ac:dyDescent="0.25">
      <c r="B12" s="42"/>
      <c r="C12" s="38"/>
      <c r="D12" s="38"/>
      <c r="E12" s="38"/>
      <c r="F12" s="38"/>
      <c r="G12" s="38"/>
      <c r="H12" s="43"/>
    </row>
    <row r="13" spans="2:8" x14ac:dyDescent="0.25">
      <c r="B13" s="42"/>
      <c r="C13" s="38"/>
      <c r="D13" s="38"/>
      <c r="E13" s="38"/>
      <c r="F13" s="38"/>
      <c r="G13" s="38"/>
      <c r="H13" s="43"/>
    </row>
    <row r="14" spans="2:8" x14ac:dyDescent="0.25">
      <c r="B14" s="42"/>
      <c r="C14" s="38"/>
      <c r="D14" s="38"/>
      <c r="E14" s="38"/>
      <c r="F14" s="38"/>
      <c r="G14" s="38"/>
      <c r="H14" s="43"/>
    </row>
    <row r="15" spans="2:8" x14ac:dyDescent="0.25">
      <c r="B15" s="42"/>
      <c r="C15" s="38"/>
      <c r="D15" s="38"/>
      <c r="E15" s="38"/>
      <c r="F15" s="38"/>
      <c r="G15" s="38"/>
      <c r="H15" s="43"/>
    </row>
    <row r="16" spans="2:8" x14ac:dyDescent="0.25">
      <c r="B16" s="42"/>
      <c r="C16" s="38"/>
      <c r="D16" s="38"/>
      <c r="E16" s="38"/>
      <c r="F16" s="38"/>
      <c r="G16" s="38"/>
      <c r="H16" s="43"/>
    </row>
    <row r="17" spans="2:8" x14ac:dyDescent="0.25">
      <c r="B17" s="42"/>
      <c r="C17" s="38"/>
      <c r="D17" s="38"/>
      <c r="E17" s="38"/>
      <c r="F17" s="38"/>
      <c r="G17" s="38"/>
      <c r="H17" s="43"/>
    </row>
    <row r="18" spans="2:8" x14ac:dyDescent="0.25">
      <c r="B18" s="42"/>
      <c r="C18" s="38"/>
      <c r="D18" s="38"/>
      <c r="E18" s="38"/>
      <c r="F18" s="38"/>
      <c r="G18" s="38"/>
      <c r="H18" s="43"/>
    </row>
    <row r="19" spans="2:8" x14ac:dyDescent="0.25">
      <c r="B19" s="42"/>
      <c r="C19" s="38"/>
      <c r="D19" s="38"/>
      <c r="E19" s="38"/>
      <c r="F19" s="38"/>
      <c r="G19" s="38"/>
      <c r="H19" s="43"/>
    </row>
    <row r="20" spans="2:8" x14ac:dyDescent="0.25">
      <c r="B20" s="42"/>
      <c r="C20" s="38"/>
      <c r="D20" s="38"/>
      <c r="E20" s="38"/>
      <c r="F20" s="38"/>
      <c r="G20" s="38"/>
      <c r="H20" s="43"/>
    </row>
    <row r="21" spans="2:8" x14ac:dyDescent="0.25">
      <c r="B21" s="42"/>
      <c r="C21" s="38"/>
      <c r="D21" s="38"/>
      <c r="E21" s="38"/>
      <c r="F21" s="38"/>
      <c r="G21" s="38"/>
      <c r="H21" s="43"/>
    </row>
    <row r="22" spans="2:8" ht="15.75" thickBot="1" x14ac:dyDescent="0.3">
      <c r="B22" s="44"/>
      <c r="C22" s="45"/>
      <c r="D22" s="45"/>
      <c r="E22" s="45"/>
      <c r="F22" s="45"/>
      <c r="G22" s="45"/>
      <c r="H22" s="46"/>
    </row>
  </sheetData>
  <mergeCells count="2">
    <mergeCell ref="B2:E5"/>
    <mergeCell ref="F3:H5"/>
  </mergeCells>
  <pageMargins left="0.7" right="0.7" top="0.75" bottom="0.75" header="0.3" footer="0.3"/>
  <pageSetup orientation="portrait" verticalDpi="0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8"/>
  <sheetViews>
    <sheetView showGridLines="0" rightToLeft="1" workbookViewId="0">
      <selection activeCell="D29" sqref="D29"/>
    </sheetView>
  </sheetViews>
  <sheetFormatPr defaultRowHeight="15" x14ac:dyDescent="0.25"/>
  <cols>
    <col min="2" max="2" width="16" customWidth="1"/>
    <col min="3" max="3" width="12.7109375" customWidth="1"/>
    <col min="4" max="5" width="17.42578125" customWidth="1"/>
    <col min="6" max="7" width="34.5703125" customWidth="1"/>
    <col min="8" max="8" width="25.85546875" customWidth="1"/>
  </cols>
  <sheetData>
    <row r="2" spans="1:9" ht="17.25" customHeight="1" x14ac:dyDescent="0.25">
      <c r="B2" s="200" t="s">
        <v>54</v>
      </c>
      <c r="C2" s="200"/>
      <c r="D2" s="200"/>
      <c r="E2" s="32"/>
    </row>
    <row r="3" spans="1:9" ht="17.25" customHeight="1" x14ac:dyDescent="0.25">
      <c r="B3" s="200"/>
      <c r="C3" s="200"/>
      <c r="D3" s="200"/>
      <c r="E3" s="32"/>
      <c r="F3" s="201" t="s">
        <v>55</v>
      </c>
      <c r="G3" s="201"/>
      <c r="H3" s="201"/>
      <c r="I3" s="201"/>
    </row>
    <row r="4" spans="1:9" ht="17.25" customHeight="1" x14ac:dyDescent="0.25">
      <c r="B4" s="200"/>
      <c r="C4" s="200"/>
      <c r="D4" s="200"/>
      <c r="E4" s="32"/>
      <c r="F4" s="201"/>
      <c r="G4" s="201"/>
      <c r="H4" s="201"/>
      <c r="I4" s="201"/>
    </row>
    <row r="5" spans="1:9" ht="17.25" customHeight="1" x14ac:dyDescent="0.25">
      <c r="B5" s="200"/>
      <c r="C5" s="200"/>
      <c r="D5" s="200"/>
      <c r="E5" s="32"/>
      <c r="F5" s="201"/>
      <c r="G5" s="201"/>
      <c r="H5" s="201"/>
      <c r="I5" s="201"/>
    </row>
    <row r="6" spans="1:9" ht="20.25" x14ac:dyDescent="0.25">
      <c r="B6" s="29"/>
      <c r="D6" s="202" t="s">
        <v>56</v>
      </c>
      <c r="E6" s="202"/>
      <c r="F6" s="202"/>
      <c r="G6" s="30"/>
    </row>
    <row r="7" spans="1:9" ht="21" thickBot="1" x14ac:dyDescent="0.3">
      <c r="B7" s="29">
        <f ca="1">TODAY()</f>
        <v>45118</v>
      </c>
      <c r="D7" s="203"/>
      <c r="E7" s="203"/>
      <c r="F7" s="203"/>
      <c r="G7" s="30"/>
    </row>
    <row r="8" spans="1:9" ht="30" customHeight="1" x14ac:dyDescent="0.25">
      <c r="B8" s="26" t="s">
        <v>47</v>
      </c>
      <c r="C8" s="27" t="s">
        <v>52</v>
      </c>
      <c r="D8" s="27" t="s">
        <v>53</v>
      </c>
      <c r="E8" s="33" t="s">
        <v>57</v>
      </c>
      <c r="F8" s="33" t="s">
        <v>50</v>
      </c>
      <c r="G8" s="33" t="s">
        <v>58</v>
      </c>
      <c r="H8" s="28" t="s">
        <v>51</v>
      </c>
    </row>
    <row r="9" spans="1:9" x14ac:dyDescent="0.25">
      <c r="B9" s="31">
        <v>45085</v>
      </c>
      <c r="C9" s="21"/>
      <c r="D9" s="21">
        <f>50*185</f>
        <v>9250</v>
      </c>
      <c r="E9" s="21"/>
      <c r="F9" s="21" t="s">
        <v>156</v>
      </c>
      <c r="G9" s="36" t="s">
        <v>59</v>
      </c>
      <c r="H9" s="23" t="s">
        <v>157</v>
      </c>
    </row>
    <row r="10" spans="1:9" x14ac:dyDescent="0.25">
      <c r="B10" s="31">
        <v>45085</v>
      </c>
      <c r="C10" s="21"/>
      <c r="D10" s="21">
        <f>10*185</f>
        <v>1850</v>
      </c>
      <c r="E10" s="21"/>
      <c r="F10" s="21" t="s">
        <v>158</v>
      </c>
      <c r="G10" s="36" t="s">
        <v>59</v>
      </c>
      <c r="H10" s="23" t="s">
        <v>159</v>
      </c>
    </row>
    <row r="11" spans="1:9" x14ac:dyDescent="0.25">
      <c r="B11" s="31">
        <v>45085</v>
      </c>
      <c r="C11" s="21"/>
      <c r="D11" s="21">
        <f>2*185</f>
        <v>370</v>
      </c>
      <c r="E11" s="21"/>
      <c r="F11" s="21" t="s">
        <v>160</v>
      </c>
      <c r="G11" s="36" t="s">
        <v>59</v>
      </c>
      <c r="H11" s="23" t="s">
        <v>161</v>
      </c>
    </row>
    <row r="12" spans="1:9" x14ac:dyDescent="0.25">
      <c r="B12" s="31">
        <v>45085</v>
      </c>
      <c r="C12" s="21"/>
      <c r="D12" s="21">
        <v>1125</v>
      </c>
      <c r="E12" s="21"/>
      <c r="F12" s="21" t="s">
        <v>61</v>
      </c>
      <c r="G12" s="36" t="s">
        <v>59</v>
      </c>
      <c r="H12" s="23" t="s">
        <v>165</v>
      </c>
    </row>
    <row r="13" spans="1:9" x14ac:dyDescent="0.25">
      <c r="B13" s="31">
        <v>45085</v>
      </c>
      <c r="C13" s="21"/>
      <c r="D13" s="21">
        <f>1*850</f>
        <v>850</v>
      </c>
      <c r="E13" s="21"/>
      <c r="F13" s="21" t="s">
        <v>162</v>
      </c>
      <c r="G13" s="36" t="s">
        <v>59</v>
      </c>
      <c r="H13" s="23" t="s">
        <v>163</v>
      </c>
    </row>
    <row r="14" spans="1:9" x14ac:dyDescent="0.25">
      <c r="B14" s="31">
        <v>45085</v>
      </c>
      <c r="C14" s="21"/>
      <c r="D14" s="21">
        <f>10*190</f>
        <v>1900</v>
      </c>
      <c r="E14" s="21"/>
      <c r="F14" s="21" t="s">
        <v>164</v>
      </c>
      <c r="G14" s="36" t="s">
        <v>59</v>
      </c>
      <c r="H14" s="23" t="s">
        <v>60</v>
      </c>
    </row>
    <row r="15" spans="1:9" x14ac:dyDescent="0.25">
      <c r="B15" s="31">
        <v>45085</v>
      </c>
      <c r="C15" s="21"/>
      <c r="D15" s="21">
        <v>50</v>
      </c>
      <c r="E15" s="21"/>
      <c r="F15" s="21" t="s">
        <v>166</v>
      </c>
      <c r="G15" s="36"/>
      <c r="H15" s="23"/>
    </row>
    <row r="16" spans="1:9" x14ac:dyDescent="0.25">
      <c r="A16" s="21">
        <v>700</v>
      </c>
      <c r="B16" s="31">
        <v>45085</v>
      </c>
      <c r="C16" s="21">
        <v>10395</v>
      </c>
      <c r="D16" s="21"/>
      <c r="E16" s="21"/>
      <c r="F16" s="21" t="s">
        <v>204</v>
      </c>
      <c r="G16" s="36" t="s">
        <v>59</v>
      </c>
      <c r="H16" s="23"/>
    </row>
    <row r="17" spans="2:8" x14ac:dyDescent="0.25">
      <c r="B17" s="31">
        <v>45087</v>
      </c>
      <c r="C17" s="21">
        <v>3000</v>
      </c>
      <c r="D17" s="21"/>
      <c r="E17" s="21"/>
      <c r="F17" s="21" t="s">
        <v>203</v>
      </c>
      <c r="G17" s="36"/>
      <c r="H17" s="23"/>
    </row>
    <row r="18" spans="2:8" x14ac:dyDescent="0.25">
      <c r="B18" s="31">
        <v>45089</v>
      </c>
      <c r="C18" s="21">
        <v>2000</v>
      </c>
      <c r="D18" s="21"/>
      <c r="E18" s="21"/>
      <c r="F18" s="21" t="s">
        <v>202</v>
      </c>
      <c r="G18" s="36"/>
      <c r="H18" s="23"/>
    </row>
    <row r="19" spans="2:8" x14ac:dyDescent="0.25">
      <c r="B19" s="31">
        <v>45089</v>
      </c>
      <c r="C19" s="21"/>
      <c r="D19" s="21">
        <v>1250</v>
      </c>
      <c r="E19" s="21"/>
      <c r="F19" s="21" t="s">
        <v>205</v>
      </c>
      <c r="G19" s="36"/>
      <c r="H19" s="23" t="s">
        <v>213</v>
      </c>
    </row>
    <row r="20" spans="2:8" x14ac:dyDescent="0.25">
      <c r="B20" s="31">
        <v>45089</v>
      </c>
      <c r="C20" s="21"/>
      <c r="D20" s="21">
        <f>5*170</f>
        <v>850</v>
      </c>
      <c r="E20" s="21"/>
      <c r="F20" s="21" t="s">
        <v>206</v>
      </c>
      <c r="G20" s="36"/>
      <c r="H20" s="23" t="s">
        <v>214</v>
      </c>
    </row>
    <row r="21" spans="2:8" x14ac:dyDescent="0.25">
      <c r="B21" s="31">
        <v>45089</v>
      </c>
      <c r="C21" s="21"/>
      <c r="D21">
        <f>5*140</f>
        <v>700</v>
      </c>
      <c r="E21" s="21"/>
      <c r="F21" s="21" t="s">
        <v>207</v>
      </c>
      <c r="G21" s="36"/>
      <c r="H21" s="23" t="s">
        <v>215</v>
      </c>
    </row>
    <row r="22" spans="2:8" x14ac:dyDescent="0.25">
      <c r="B22" s="31">
        <v>45089</v>
      </c>
      <c r="C22" s="21"/>
      <c r="D22" s="21">
        <f>5*70</f>
        <v>350</v>
      </c>
      <c r="E22" s="21"/>
      <c r="F22" s="21" t="s">
        <v>208</v>
      </c>
      <c r="G22" s="36"/>
      <c r="H22" s="23" t="s">
        <v>216</v>
      </c>
    </row>
    <row r="23" spans="2:8" x14ac:dyDescent="0.25">
      <c r="B23" s="31">
        <v>45089</v>
      </c>
      <c r="C23" s="21"/>
      <c r="D23" s="21">
        <v>400</v>
      </c>
      <c r="E23" s="21"/>
      <c r="F23" s="21" t="s">
        <v>209</v>
      </c>
      <c r="G23" s="36"/>
      <c r="H23" s="23" t="s">
        <v>217</v>
      </c>
    </row>
    <row r="24" spans="2:8" x14ac:dyDescent="0.25">
      <c r="B24" s="31">
        <v>45089</v>
      </c>
      <c r="C24" s="21"/>
      <c r="D24" s="21">
        <v>240</v>
      </c>
      <c r="E24" s="21"/>
      <c r="F24" s="21" t="s">
        <v>210</v>
      </c>
      <c r="G24" s="36"/>
      <c r="H24" s="23" t="s">
        <v>218</v>
      </c>
    </row>
    <row r="25" spans="2:8" x14ac:dyDescent="0.25">
      <c r="B25" s="31">
        <v>45089</v>
      </c>
      <c r="C25" s="21"/>
      <c r="D25" s="21">
        <v>1250</v>
      </c>
      <c r="E25" s="21"/>
      <c r="F25" s="21" t="s">
        <v>211</v>
      </c>
      <c r="G25" s="36"/>
      <c r="H25" s="23" t="s">
        <v>219</v>
      </c>
    </row>
    <row r="26" spans="2:8" x14ac:dyDescent="0.25">
      <c r="B26" s="31">
        <v>45089</v>
      </c>
      <c r="C26" s="21"/>
      <c r="D26" s="21">
        <v>250</v>
      </c>
      <c r="E26" s="21"/>
      <c r="F26" s="21" t="s">
        <v>212</v>
      </c>
      <c r="G26" s="36"/>
      <c r="H26" s="23" t="s">
        <v>220</v>
      </c>
    </row>
    <row r="27" spans="2:8" x14ac:dyDescent="0.25">
      <c r="B27" s="31">
        <v>45089</v>
      </c>
      <c r="C27" s="21"/>
      <c r="D27" s="21">
        <v>50</v>
      </c>
      <c r="E27" s="21"/>
      <c r="F27" s="21" t="s">
        <v>221</v>
      </c>
      <c r="G27" s="36"/>
      <c r="H27" s="23"/>
    </row>
    <row r="28" spans="2:8" x14ac:dyDescent="0.25">
      <c r="B28" s="31">
        <v>45089</v>
      </c>
      <c r="C28" s="21">
        <v>5340</v>
      </c>
      <c r="D28" s="21"/>
      <c r="E28" s="21"/>
      <c r="F28" s="21" t="s">
        <v>222</v>
      </c>
      <c r="G28" s="36"/>
      <c r="H28" s="23"/>
    </row>
    <row r="29" spans="2:8" x14ac:dyDescent="0.25">
      <c r="B29" s="31"/>
      <c r="C29" s="21"/>
      <c r="D29" s="21"/>
      <c r="E29" s="21"/>
      <c r="F29" s="21"/>
      <c r="G29" s="36"/>
      <c r="H29" s="23"/>
    </row>
    <row r="30" spans="2:8" x14ac:dyDescent="0.25">
      <c r="B30" s="31"/>
      <c r="C30" s="21"/>
      <c r="D30" s="21"/>
      <c r="E30" s="21"/>
      <c r="F30" s="21"/>
      <c r="G30" s="36"/>
      <c r="H30" s="23"/>
    </row>
    <row r="31" spans="2:8" x14ac:dyDescent="0.25">
      <c r="B31" s="31"/>
      <c r="C31" s="21"/>
      <c r="D31" s="21"/>
      <c r="E31" s="21"/>
      <c r="F31" s="21"/>
      <c r="G31" s="36"/>
      <c r="H31" s="23"/>
    </row>
    <row r="32" spans="2:8" x14ac:dyDescent="0.25">
      <c r="B32" s="31"/>
      <c r="C32" s="21"/>
      <c r="D32" s="21"/>
      <c r="E32" s="21"/>
      <c r="F32" s="21"/>
      <c r="G32" s="36"/>
      <c r="H32" s="23"/>
    </row>
    <row r="33" spans="2:8" x14ac:dyDescent="0.25">
      <c r="B33" s="31"/>
      <c r="C33" s="21"/>
      <c r="D33" s="21"/>
      <c r="E33" s="21"/>
      <c r="F33" s="21"/>
      <c r="G33" s="36"/>
      <c r="H33" s="23"/>
    </row>
    <row r="34" spans="2:8" x14ac:dyDescent="0.25">
      <c r="B34" s="31"/>
      <c r="C34" s="21"/>
      <c r="D34" s="21"/>
      <c r="E34" s="21"/>
      <c r="F34" s="21"/>
      <c r="G34" s="36"/>
      <c r="H34" s="23"/>
    </row>
    <row r="35" spans="2:8" x14ac:dyDescent="0.25">
      <c r="B35" s="31"/>
      <c r="C35" s="21"/>
      <c r="D35" s="21"/>
      <c r="E35" s="21"/>
      <c r="F35" s="21"/>
      <c r="G35" s="36"/>
      <c r="H35" s="23"/>
    </row>
    <row r="36" spans="2:8" x14ac:dyDescent="0.25">
      <c r="B36" s="31"/>
      <c r="C36" s="21"/>
      <c r="D36" s="21"/>
      <c r="E36" s="21"/>
      <c r="F36" s="21"/>
      <c r="G36" s="36"/>
      <c r="H36" s="23"/>
    </row>
    <row r="37" spans="2:8" x14ac:dyDescent="0.25">
      <c r="B37" s="22"/>
      <c r="C37" s="21"/>
      <c r="D37" s="21"/>
      <c r="E37" s="21"/>
      <c r="F37" s="21"/>
      <c r="G37" s="36"/>
      <c r="H37" s="23"/>
    </row>
    <row r="38" spans="2:8" ht="30.75" customHeight="1" thickBot="1" x14ac:dyDescent="0.3">
      <c r="B38" s="34" t="s">
        <v>6</v>
      </c>
      <c r="C38" s="35">
        <f>SUM(C9:C37)</f>
        <v>20735</v>
      </c>
      <c r="D38" s="24">
        <f>SUM(D9:D37)</f>
        <v>20735</v>
      </c>
      <c r="E38" s="72">
        <f>D38-C38</f>
        <v>0</v>
      </c>
      <c r="F38" s="90" t="s">
        <v>184</v>
      </c>
      <c r="G38" s="37"/>
      <c r="H38" s="25"/>
    </row>
  </sheetData>
  <mergeCells count="3">
    <mergeCell ref="B2:D5"/>
    <mergeCell ref="F3:I5"/>
    <mergeCell ref="D6:F7"/>
  </mergeCells>
  <pageMargins left="0.7" right="0.7" top="0.75" bottom="0.75" header="0.3" footer="0.3"/>
  <pageSetup orientation="portrait" verticalDpi="0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5"/>
  <sheetViews>
    <sheetView showGridLines="0" rightToLeft="1" topLeftCell="A10" workbookViewId="0">
      <selection activeCell="C21" sqref="C21"/>
    </sheetView>
  </sheetViews>
  <sheetFormatPr defaultRowHeight="15" x14ac:dyDescent="0.25"/>
  <cols>
    <col min="2" max="2" width="16" customWidth="1"/>
    <col min="3" max="3" width="12.7109375" customWidth="1"/>
    <col min="4" max="5" width="17.42578125" customWidth="1"/>
    <col min="6" max="7" width="34.5703125" customWidth="1"/>
    <col min="8" max="8" width="25.85546875" customWidth="1"/>
  </cols>
  <sheetData>
    <row r="2" spans="2:9" ht="17.25" customHeight="1" x14ac:dyDescent="0.25">
      <c r="B2" s="200" t="s">
        <v>54</v>
      </c>
      <c r="C2" s="200"/>
      <c r="D2" s="200"/>
      <c r="E2" s="47"/>
    </row>
    <row r="3" spans="2:9" ht="17.25" customHeight="1" x14ac:dyDescent="0.25">
      <c r="B3" s="200"/>
      <c r="C3" s="200"/>
      <c r="D3" s="200"/>
      <c r="E3" s="47"/>
      <c r="F3" s="201" t="s">
        <v>55</v>
      </c>
      <c r="G3" s="201"/>
      <c r="H3" s="201"/>
      <c r="I3" s="201"/>
    </row>
    <row r="4" spans="2:9" ht="17.25" customHeight="1" x14ac:dyDescent="0.25">
      <c r="B4" s="200"/>
      <c r="C4" s="200"/>
      <c r="D4" s="200"/>
      <c r="E4" s="47"/>
      <c r="F4" s="201"/>
      <c r="G4" s="201"/>
      <c r="H4" s="201"/>
      <c r="I4" s="201"/>
    </row>
    <row r="5" spans="2:9" ht="17.25" customHeight="1" x14ac:dyDescent="0.25">
      <c r="B5" s="200"/>
      <c r="C5" s="200"/>
      <c r="D5" s="200"/>
      <c r="E5" s="47"/>
      <c r="F5" s="201"/>
      <c r="G5" s="201"/>
      <c r="H5" s="201"/>
      <c r="I5" s="201"/>
    </row>
    <row r="6" spans="2:9" ht="20.25" x14ac:dyDescent="0.25">
      <c r="B6" s="29"/>
      <c r="D6" s="202" t="s">
        <v>56</v>
      </c>
      <c r="E6" s="202"/>
      <c r="F6" s="202"/>
      <c r="G6" s="48"/>
    </row>
    <row r="7" spans="2:9" ht="21" thickBot="1" x14ac:dyDescent="0.3">
      <c r="B7" s="29">
        <f ca="1">TODAY()</f>
        <v>45118</v>
      </c>
      <c r="D7" s="203"/>
      <c r="E7" s="203"/>
      <c r="F7" s="203"/>
      <c r="G7" s="48"/>
    </row>
    <row r="8" spans="2:9" ht="30" customHeight="1" x14ac:dyDescent="0.25">
      <c r="B8" s="26" t="s">
        <v>47</v>
      </c>
      <c r="C8" s="27" t="s">
        <v>52</v>
      </c>
      <c r="D8" s="27" t="s">
        <v>53</v>
      </c>
      <c r="E8" s="33" t="s">
        <v>57</v>
      </c>
      <c r="F8" s="33" t="s">
        <v>50</v>
      </c>
      <c r="G8" s="33" t="s">
        <v>58</v>
      </c>
      <c r="H8" s="28" t="s">
        <v>51</v>
      </c>
    </row>
    <row r="9" spans="2:9" x14ac:dyDescent="0.25">
      <c r="B9" s="31">
        <v>44722</v>
      </c>
      <c r="C9" s="21"/>
      <c r="D9" s="21">
        <v>850</v>
      </c>
      <c r="E9" s="21"/>
      <c r="F9" s="21" t="s">
        <v>199</v>
      </c>
      <c r="G9" s="36" t="s">
        <v>62</v>
      </c>
      <c r="H9" s="23"/>
    </row>
    <row r="10" spans="2:9" x14ac:dyDescent="0.25">
      <c r="B10" s="31">
        <v>44722</v>
      </c>
      <c r="C10" s="21"/>
      <c r="D10" s="21">
        <v>850</v>
      </c>
      <c r="E10" s="21"/>
      <c r="F10" s="21" t="s">
        <v>199</v>
      </c>
      <c r="G10" s="36" t="s">
        <v>62</v>
      </c>
      <c r="H10" s="23"/>
    </row>
    <row r="11" spans="2:9" x14ac:dyDescent="0.25">
      <c r="B11" s="31">
        <v>44722</v>
      </c>
      <c r="C11" s="21"/>
      <c r="D11" s="21">
        <v>1000</v>
      </c>
      <c r="E11" s="21"/>
      <c r="F11" s="21" t="s">
        <v>199</v>
      </c>
      <c r="G11" s="36" t="s">
        <v>62</v>
      </c>
      <c r="H11" s="23"/>
    </row>
    <row r="12" spans="2:9" x14ac:dyDescent="0.25">
      <c r="B12" s="31">
        <v>44722</v>
      </c>
      <c r="C12" s="21"/>
      <c r="D12" s="21">
        <v>900</v>
      </c>
      <c r="E12" s="21"/>
      <c r="F12" s="21" t="s">
        <v>199</v>
      </c>
      <c r="G12" s="36" t="s">
        <v>62</v>
      </c>
      <c r="H12" s="23"/>
    </row>
    <row r="13" spans="2:9" x14ac:dyDescent="0.25">
      <c r="B13" s="31">
        <v>44722</v>
      </c>
      <c r="C13" s="21"/>
      <c r="D13" s="21">
        <v>200</v>
      </c>
      <c r="E13" s="21"/>
      <c r="F13" s="21" t="s">
        <v>63</v>
      </c>
      <c r="G13" s="36" t="s">
        <v>62</v>
      </c>
      <c r="H13" s="23"/>
    </row>
    <row r="14" spans="2:9" x14ac:dyDescent="0.25">
      <c r="B14" s="31">
        <v>45089</v>
      </c>
      <c r="C14" s="21">
        <v>3800</v>
      </c>
      <c r="D14" s="21"/>
      <c r="E14" s="21"/>
      <c r="F14" s="99" t="s">
        <v>201</v>
      </c>
      <c r="G14" s="36"/>
      <c r="H14" s="23"/>
    </row>
    <row r="15" spans="2:9" x14ac:dyDescent="0.25">
      <c r="B15" s="31">
        <v>45097</v>
      </c>
      <c r="C15" s="21"/>
      <c r="D15" s="21">
        <v>950</v>
      </c>
      <c r="E15" s="21"/>
      <c r="F15" s="21" t="s">
        <v>199</v>
      </c>
      <c r="G15" s="36"/>
      <c r="H15" s="23"/>
    </row>
    <row r="16" spans="2:9" x14ac:dyDescent="0.25">
      <c r="B16" s="31"/>
      <c r="C16" s="21"/>
      <c r="D16" s="21">
        <v>950</v>
      </c>
      <c r="E16" s="21"/>
      <c r="F16" s="21" t="s">
        <v>199</v>
      </c>
      <c r="G16" s="36"/>
      <c r="H16" s="23"/>
    </row>
    <row r="17" spans="2:8" x14ac:dyDescent="0.25">
      <c r="B17" s="31"/>
      <c r="C17" s="21"/>
      <c r="D17" s="21">
        <v>850</v>
      </c>
      <c r="E17" s="21"/>
      <c r="F17" s="21" t="s">
        <v>199</v>
      </c>
      <c r="G17" s="36"/>
      <c r="H17" s="23"/>
    </row>
    <row r="18" spans="2:8" x14ac:dyDescent="0.25">
      <c r="B18" s="31"/>
      <c r="C18" s="21"/>
      <c r="D18" s="21">
        <v>950</v>
      </c>
      <c r="E18" s="21"/>
      <c r="F18" s="21" t="s">
        <v>199</v>
      </c>
      <c r="G18" s="36"/>
      <c r="H18" s="23"/>
    </row>
    <row r="19" spans="2:8" x14ac:dyDescent="0.25">
      <c r="B19" s="22"/>
      <c r="C19" s="21"/>
      <c r="D19" s="21">
        <v>200</v>
      </c>
      <c r="E19" s="21"/>
      <c r="F19" s="21" t="s">
        <v>63</v>
      </c>
      <c r="G19" s="36"/>
      <c r="H19" s="23"/>
    </row>
    <row r="20" spans="2:8" x14ac:dyDescent="0.25">
      <c r="B20" s="31">
        <v>45097</v>
      </c>
      <c r="C20" s="21">
        <v>3900</v>
      </c>
      <c r="D20" s="21"/>
      <c r="E20" s="21"/>
      <c r="F20" s="21" t="s">
        <v>201</v>
      </c>
      <c r="G20" s="36" t="s">
        <v>62</v>
      </c>
      <c r="H20" s="23"/>
    </row>
    <row r="21" spans="2:8" x14ac:dyDescent="0.25">
      <c r="B21" s="22"/>
      <c r="C21" s="21"/>
      <c r="D21" s="21"/>
      <c r="E21" s="21"/>
      <c r="F21" s="21"/>
      <c r="G21" s="36"/>
      <c r="H21" s="23"/>
    </row>
    <row r="22" spans="2:8" x14ac:dyDescent="0.25">
      <c r="B22" s="22"/>
      <c r="C22" s="21"/>
      <c r="D22" s="21"/>
      <c r="E22" s="21"/>
      <c r="F22" s="21"/>
      <c r="G22" s="36"/>
      <c r="H22" s="23"/>
    </row>
    <row r="23" spans="2:8" x14ac:dyDescent="0.25">
      <c r="B23" s="22"/>
      <c r="C23" s="21"/>
      <c r="D23" s="21"/>
      <c r="E23" s="21"/>
      <c r="F23" s="21"/>
      <c r="G23" s="36"/>
      <c r="H23" s="23"/>
    </row>
    <row r="24" spans="2:8" ht="30.75" customHeight="1" thickBot="1" x14ac:dyDescent="0.3">
      <c r="B24" s="34" t="s">
        <v>6</v>
      </c>
      <c r="C24" s="35">
        <f>SUM(C9:C23)</f>
        <v>7700</v>
      </c>
      <c r="D24" s="35">
        <f>SUM(D9:D23)</f>
        <v>7700</v>
      </c>
      <c r="E24" s="72">
        <f>D24-C24</f>
        <v>0</v>
      </c>
      <c r="F24" s="24" t="s">
        <v>200</v>
      </c>
      <c r="G24" s="37"/>
      <c r="H24" s="25"/>
    </row>
    <row r="25" spans="2:8" ht="15.75" thickBot="1" x14ac:dyDescent="0.3">
      <c r="F25" s="24"/>
    </row>
  </sheetData>
  <mergeCells count="3">
    <mergeCell ref="B2:D5"/>
    <mergeCell ref="F3:I5"/>
    <mergeCell ref="D6:F7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0"/>
  <sheetViews>
    <sheetView rightToLeft="1" topLeftCell="A38" zoomScale="70" zoomScaleNormal="70" workbookViewId="0">
      <selection activeCell="A3" sqref="A3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4.14062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4.42578125" bestFit="1" customWidth="1"/>
    <col min="16" max="16" width="15.85546875" bestFit="1" customWidth="1"/>
    <col min="18" max="18" width="15.85546875" bestFit="1" customWidth="1"/>
    <col min="19" max="19" width="14" customWidth="1"/>
    <col min="20" max="20" width="10.140625" customWidth="1"/>
  </cols>
  <sheetData>
    <row r="1" spans="1:20" ht="15.75" hidden="1" thickBot="1" x14ac:dyDescent="0.3"/>
    <row r="2" spans="1:20" ht="25.5" customHeight="1" thickBot="1" x14ac:dyDescent="0.3">
      <c r="A2" s="50" t="s">
        <v>0</v>
      </c>
      <c r="B2" s="51"/>
      <c r="C2" s="51"/>
      <c r="D2" s="52"/>
      <c r="E2" s="157">
        <f ca="1">TODAY()</f>
        <v>45118</v>
      </c>
      <c r="F2" s="158"/>
      <c r="G2" s="158"/>
      <c r="H2" s="158"/>
      <c r="I2" s="158"/>
      <c r="J2" s="158"/>
      <c r="K2" s="158"/>
      <c r="L2" s="158"/>
      <c r="M2" s="53"/>
      <c r="N2" s="53"/>
      <c r="O2" s="53"/>
      <c r="P2" s="53"/>
      <c r="Q2" s="53"/>
      <c r="R2" s="53"/>
      <c r="S2" s="53"/>
      <c r="T2" s="53"/>
    </row>
    <row r="3" spans="1:20" ht="36.75" customHeight="1" x14ac:dyDescent="0.25">
      <c r="A3" s="54" t="s">
        <v>4</v>
      </c>
      <c r="B3" s="54" t="s">
        <v>3</v>
      </c>
      <c r="C3" s="54" t="s">
        <v>1</v>
      </c>
      <c r="D3" s="54" t="s">
        <v>2</v>
      </c>
      <c r="E3" s="54" t="s">
        <v>1</v>
      </c>
      <c r="F3" s="54" t="s">
        <v>13</v>
      </c>
      <c r="G3" s="54" t="s">
        <v>5</v>
      </c>
      <c r="H3" s="57" t="s">
        <v>8</v>
      </c>
      <c r="I3" s="18" t="s">
        <v>9</v>
      </c>
      <c r="J3" s="18" t="s">
        <v>10</v>
      </c>
      <c r="K3" s="18" t="s">
        <v>11</v>
      </c>
      <c r="L3" s="18" t="s">
        <v>12</v>
      </c>
      <c r="M3" s="18" t="s">
        <v>31</v>
      </c>
      <c r="N3" s="18" t="s">
        <v>45</v>
      </c>
      <c r="O3" s="18" t="s">
        <v>32</v>
      </c>
      <c r="P3" s="18" t="s">
        <v>34</v>
      </c>
      <c r="Q3" s="18" t="s">
        <v>35</v>
      </c>
      <c r="R3" s="18" t="s">
        <v>39</v>
      </c>
      <c r="S3" s="18" t="s">
        <v>38</v>
      </c>
      <c r="T3" s="19" t="s">
        <v>40</v>
      </c>
    </row>
    <row r="4" spans="1:20" ht="25.5" customHeight="1" x14ac:dyDescent="0.25">
      <c r="A4" s="59">
        <v>45049</v>
      </c>
      <c r="B4" s="15"/>
      <c r="C4" s="15" t="s">
        <v>14</v>
      </c>
      <c r="D4" s="15">
        <f>539+529</f>
        <v>1068</v>
      </c>
      <c r="E4" s="15" t="s">
        <v>111</v>
      </c>
      <c r="F4" s="15">
        <v>60</v>
      </c>
      <c r="G4" s="15"/>
      <c r="H4" s="56">
        <v>6</v>
      </c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</row>
    <row r="5" spans="1:20" ht="25.5" customHeight="1" x14ac:dyDescent="0.25">
      <c r="A5" s="59">
        <v>45049</v>
      </c>
      <c r="B5" s="15"/>
      <c r="C5" s="15" t="s">
        <v>15</v>
      </c>
      <c r="D5" s="15">
        <f>1532+1293</f>
        <v>2825</v>
      </c>
      <c r="E5" s="15" t="s">
        <v>112</v>
      </c>
      <c r="F5" s="15">
        <f t="shared" ref="F5:F38" si="0">SUM(G5:T5)</f>
        <v>200</v>
      </c>
      <c r="G5" s="15"/>
      <c r="H5" s="56"/>
      <c r="I5" s="15"/>
      <c r="J5" s="15"/>
      <c r="K5" s="15"/>
      <c r="L5" s="15"/>
      <c r="M5" s="15"/>
      <c r="N5" s="15"/>
      <c r="O5" s="15"/>
      <c r="P5" s="15"/>
      <c r="Q5" s="15"/>
      <c r="R5" s="15">
        <v>200</v>
      </c>
      <c r="S5" s="15"/>
      <c r="T5" s="15"/>
    </row>
    <row r="6" spans="1:20" ht="25.5" customHeight="1" x14ac:dyDescent="0.25">
      <c r="A6" s="59">
        <v>45049</v>
      </c>
      <c r="B6" s="15"/>
      <c r="C6" s="15" t="s">
        <v>16</v>
      </c>
      <c r="D6" s="15">
        <v>0</v>
      </c>
      <c r="E6" s="15" t="s">
        <v>68</v>
      </c>
      <c r="F6" s="15">
        <f t="shared" si="0"/>
        <v>203</v>
      </c>
      <c r="G6" s="15"/>
      <c r="H6" s="56"/>
      <c r="I6" s="15"/>
      <c r="J6" s="15"/>
      <c r="K6" s="15"/>
      <c r="L6" s="15">
        <f>90+90+23</f>
        <v>203</v>
      </c>
      <c r="M6" s="15"/>
      <c r="N6" s="15"/>
      <c r="O6" s="15"/>
      <c r="P6" s="15"/>
      <c r="Q6" s="15"/>
      <c r="R6" s="15"/>
      <c r="S6" s="15"/>
      <c r="T6" s="15"/>
    </row>
    <row r="7" spans="1:20" ht="25.5" customHeight="1" x14ac:dyDescent="0.25">
      <c r="A7" s="59">
        <v>45049</v>
      </c>
      <c r="B7" s="15"/>
      <c r="C7" s="15" t="s">
        <v>17</v>
      </c>
      <c r="D7" s="15">
        <f>81+87</f>
        <v>168</v>
      </c>
      <c r="E7" s="15" t="s">
        <v>113</v>
      </c>
      <c r="F7" s="15">
        <f t="shared" si="0"/>
        <v>60</v>
      </c>
      <c r="G7" s="15"/>
      <c r="H7" s="56"/>
      <c r="I7" s="15"/>
      <c r="J7" s="15"/>
      <c r="K7" s="15"/>
      <c r="L7" s="15"/>
      <c r="M7" s="15"/>
      <c r="N7" s="15">
        <v>60</v>
      </c>
      <c r="O7" s="15"/>
      <c r="P7" s="15"/>
      <c r="Q7" s="15"/>
      <c r="R7" s="15"/>
      <c r="S7" s="15"/>
      <c r="T7" s="15"/>
    </row>
    <row r="8" spans="1:20" ht="25.5" customHeight="1" x14ac:dyDescent="0.25">
      <c r="A8" s="59">
        <v>45049</v>
      </c>
      <c r="B8" s="15"/>
      <c r="C8" s="15" t="s">
        <v>18</v>
      </c>
      <c r="D8" s="15">
        <f>25+80+75+25+20+100+400+70+22+155+45+82+125+39</f>
        <v>1263</v>
      </c>
      <c r="E8" s="15" t="s">
        <v>114</v>
      </c>
      <c r="F8" s="15">
        <f t="shared" si="0"/>
        <v>10</v>
      </c>
      <c r="G8" s="15"/>
      <c r="H8" s="56"/>
      <c r="I8" s="15"/>
      <c r="J8" s="15"/>
      <c r="K8" s="15"/>
      <c r="L8" s="15"/>
      <c r="M8" s="15"/>
      <c r="N8" s="15"/>
      <c r="O8" s="15"/>
      <c r="P8" s="15">
        <v>10</v>
      </c>
      <c r="Q8" s="15"/>
      <c r="R8" s="15"/>
      <c r="S8" s="15"/>
      <c r="T8" s="15"/>
    </row>
    <row r="9" spans="1:20" ht="25.5" customHeight="1" x14ac:dyDescent="0.25">
      <c r="A9" s="59">
        <v>45049</v>
      </c>
      <c r="B9" s="15"/>
      <c r="C9" s="15" t="s">
        <v>30</v>
      </c>
      <c r="D9" s="15">
        <v>0</v>
      </c>
      <c r="E9" s="15" t="s">
        <v>115</v>
      </c>
      <c r="F9" s="15">
        <f t="shared" si="0"/>
        <v>10</v>
      </c>
      <c r="G9" s="15"/>
      <c r="H9" s="56"/>
      <c r="I9" s="15"/>
      <c r="J9" s="15"/>
      <c r="K9" s="15"/>
      <c r="L9" s="15"/>
      <c r="M9" s="15">
        <v>10</v>
      </c>
      <c r="N9" s="15"/>
      <c r="O9" s="15"/>
      <c r="P9" s="15"/>
      <c r="Q9" s="15"/>
      <c r="R9" s="15"/>
      <c r="S9" s="15"/>
      <c r="T9" s="15"/>
    </row>
    <row r="10" spans="1:20" ht="25.5" customHeight="1" x14ac:dyDescent="0.25">
      <c r="A10" s="59">
        <v>45049</v>
      </c>
      <c r="B10" s="15"/>
      <c r="C10" s="15" t="s">
        <v>46</v>
      </c>
      <c r="D10" s="15">
        <v>0</v>
      </c>
      <c r="E10" s="15" t="s">
        <v>116</v>
      </c>
      <c r="F10" s="15">
        <f t="shared" si="0"/>
        <v>50</v>
      </c>
      <c r="G10" s="15"/>
      <c r="H10" s="56"/>
      <c r="I10" s="15"/>
      <c r="J10" s="15"/>
      <c r="K10" s="15"/>
      <c r="L10" s="15"/>
      <c r="M10" s="15"/>
      <c r="N10" s="15">
        <v>50</v>
      </c>
      <c r="O10" s="15"/>
      <c r="P10" s="15"/>
      <c r="Q10" s="15"/>
      <c r="R10" s="15"/>
      <c r="S10" s="15"/>
      <c r="T10" s="15"/>
    </row>
    <row r="11" spans="1:20" ht="25.5" customHeight="1" x14ac:dyDescent="0.25">
      <c r="A11" s="59">
        <v>45049</v>
      </c>
      <c r="B11" s="15"/>
      <c r="C11" s="15"/>
      <c r="D11" s="15"/>
      <c r="E11" s="15" t="s">
        <v>74</v>
      </c>
      <c r="F11" s="15">
        <f t="shared" si="0"/>
        <v>150</v>
      </c>
      <c r="G11" s="15">
        <v>150</v>
      </c>
      <c r="H11" s="56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</row>
    <row r="12" spans="1:20" ht="25.5" customHeight="1" x14ac:dyDescent="0.25">
      <c r="A12" s="59">
        <v>45049</v>
      </c>
      <c r="B12" s="15"/>
      <c r="C12" s="15"/>
      <c r="D12" s="15"/>
      <c r="E12" s="15" t="s">
        <v>117</v>
      </c>
      <c r="F12" s="15">
        <f t="shared" si="0"/>
        <v>150</v>
      </c>
      <c r="G12" s="15">
        <v>150</v>
      </c>
      <c r="H12" s="56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</row>
    <row r="13" spans="1:20" ht="25.5" customHeight="1" x14ac:dyDescent="0.25">
      <c r="A13" s="59">
        <v>45049</v>
      </c>
      <c r="B13" s="15"/>
      <c r="C13" s="15"/>
      <c r="D13" s="15"/>
      <c r="E13" s="15" t="s">
        <v>118</v>
      </c>
      <c r="F13" s="15">
        <f t="shared" si="0"/>
        <v>170</v>
      </c>
      <c r="G13" s="15">
        <v>170</v>
      </c>
      <c r="H13" s="56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ht="25.5" customHeight="1" x14ac:dyDescent="0.25">
      <c r="A14" s="59">
        <v>45049</v>
      </c>
      <c r="B14" s="15"/>
      <c r="C14" s="15"/>
      <c r="D14" s="15"/>
      <c r="E14" s="15" t="s">
        <v>121</v>
      </c>
      <c r="F14" s="15">
        <f t="shared" si="0"/>
        <v>160</v>
      </c>
      <c r="G14" s="15">
        <v>160</v>
      </c>
      <c r="H14" s="56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ht="25.5" customHeight="1" x14ac:dyDescent="0.25">
      <c r="A15" s="59">
        <v>45049</v>
      </c>
      <c r="B15" s="15"/>
      <c r="C15" s="15"/>
      <c r="D15" s="15"/>
      <c r="E15" s="15" t="s">
        <v>79</v>
      </c>
      <c r="F15" s="15">
        <f t="shared" si="0"/>
        <v>50</v>
      </c>
      <c r="G15" s="15">
        <v>50</v>
      </c>
      <c r="H15" s="56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ht="25.5" customHeight="1" x14ac:dyDescent="0.25">
      <c r="A16" s="59">
        <v>45049</v>
      </c>
      <c r="B16" s="15"/>
      <c r="C16" s="15"/>
      <c r="D16" s="15"/>
      <c r="E16" s="15" t="s">
        <v>97</v>
      </c>
      <c r="F16" s="15">
        <f t="shared" si="0"/>
        <v>50</v>
      </c>
      <c r="G16" s="15">
        <v>50</v>
      </c>
      <c r="H16" s="56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</row>
    <row r="17" spans="1:20" ht="25.5" customHeight="1" x14ac:dyDescent="0.25">
      <c r="A17" s="59">
        <v>45049</v>
      </c>
      <c r="B17" s="15"/>
      <c r="C17" s="15"/>
      <c r="D17" s="15"/>
      <c r="E17" s="15" t="s">
        <v>119</v>
      </c>
      <c r="F17" s="15">
        <f t="shared" si="0"/>
        <v>170</v>
      </c>
      <c r="G17" s="15">
        <v>170</v>
      </c>
      <c r="H17" s="56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</row>
    <row r="18" spans="1:20" ht="25.5" customHeight="1" x14ac:dyDescent="0.25">
      <c r="A18" s="59">
        <v>45049</v>
      </c>
      <c r="B18" s="15"/>
      <c r="C18" s="15"/>
      <c r="D18" s="15"/>
      <c r="E18" s="15" t="s">
        <v>120</v>
      </c>
      <c r="F18" s="15">
        <f t="shared" si="0"/>
        <v>50</v>
      </c>
      <c r="G18" s="15">
        <v>50</v>
      </c>
      <c r="H18" s="56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ht="25.5" customHeight="1" x14ac:dyDescent="0.25">
      <c r="A19" s="59">
        <v>45049</v>
      </c>
      <c r="B19" s="15"/>
      <c r="C19" s="15"/>
      <c r="D19" s="15"/>
      <c r="E19" s="15" t="s">
        <v>77</v>
      </c>
      <c r="F19" s="15">
        <f t="shared" si="0"/>
        <v>100</v>
      </c>
      <c r="G19" s="15">
        <v>100</v>
      </c>
      <c r="H19" s="56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ht="25.5" customHeight="1" x14ac:dyDescent="0.25">
      <c r="A20" s="59">
        <v>45049</v>
      </c>
      <c r="B20" s="15"/>
      <c r="C20" s="15"/>
      <c r="D20" s="15"/>
      <c r="E20" s="15" t="s">
        <v>95</v>
      </c>
      <c r="F20" s="15">
        <f t="shared" si="0"/>
        <v>200</v>
      </c>
      <c r="G20" s="15">
        <v>200</v>
      </c>
      <c r="H20" s="56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ht="25.5" customHeight="1" x14ac:dyDescent="0.25">
      <c r="A21" s="59">
        <v>45049</v>
      </c>
      <c r="B21" s="15"/>
      <c r="C21" s="15"/>
      <c r="D21" s="15"/>
      <c r="E21" s="15" t="s">
        <v>85</v>
      </c>
      <c r="F21" s="15">
        <f t="shared" si="0"/>
        <v>120</v>
      </c>
      <c r="G21" s="15">
        <v>120</v>
      </c>
      <c r="H21" s="56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25.5" customHeight="1" x14ac:dyDescent="0.25">
      <c r="A22" s="59">
        <v>45049</v>
      </c>
      <c r="B22" s="15"/>
      <c r="C22" s="15"/>
      <c r="D22" s="15"/>
      <c r="E22" s="15" t="s">
        <v>101</v>
      </c>
      <c r="F22" s="15">
        <f t="shared" si="0"/>
        <v>30</v>
      </c>
      <c r="G22" s="15">
        <v>30</v>
      </c>
      <c r="H22" s="56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</row>
    <row r="23" spans="1:20" ht="25.5" customHeight="1" x14ac:dyDescent="0.25">
      <c r="A23" s="59">
        <v>45049</v>
      </c>
      <c r="B23" s="15"/>
      <c r="C23" s="15"/>
      <c r="D23" s="15"/>
      <c r="E23" s="15" t="s">
        <v>84</v>
      </c>
      <c r="F23" s="15">
        <f t="shared" si="0"/>
        <v>170</v>
      </c>
      <c r="G23" s="15">
        <v>170</v>
      </c>
      <c r="H23" s="56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</row>
    <row r="24" spans="1:20" ht="25.5" customHeight="1" x14ac:dyDescent="0.25">
      <c r="A24" s="59">
        <v>45049</v>
      </c>
      <c r="B24" s="15"/>
      <c r="C24" s="15"/>
      <c r="D24" s="15"/>
      <c r="E24" s="15" t="s">
        <v>86</v>
      </c>
      <c r="F24" s="15">
        <f t="shared" si="0"/>
        <v>150</v>
      </c>
      <c r="G24" s="15">
        <v>150</v>
      </c>
      <c r="H24" s="56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</row>
    <row r="25" spans="1:20" ht="25.5" customHeight="1" x14ac:dyDescent="0.25">
      <c r="A25" s="59">
        <v>45049</v>
      </c>
      <c r="B25" s="15"/>
      <c r="C25" s="15"/>
      <c r="D25" s="15"/>
      <c r="E25" s="15" t="s">
        <v>100</v>
      </c>
      <c r="F25" s="15">
        <f t="shared" si="0"/>
        <v>150</v>
      </c>
      <c r="G25" s="15">
        <v>150</v>
      </c>
      <c r="H25" s="56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</row>
    <row r="26" spans="1:20" ht="25.5" customHeight="1" x14ac:dyDescent="0.25">
      <c r="A26" s="59">
        <v>45049</v>
      </c>
      <c r="B26" s="15"/>
      <c r="C26" s="15"/>
      <c r="D26" s="15"/>
      <c r="E26" s="15"/>
      <c r="F26" s="15">
        <f t="shared" si="0"/>
        <v>0</v>
      </c>
      <c r="G26" s="15"/>
      <c r="H26" s="56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</row>
    <row r="27" spans="1:20" ht="25.5" customHeight="1" x14ac:dyDescent="0.25">
      <c r="A27" s="59">
        <v>45049</v>
      </c>
      <c r="B27" s="15"/>
      <c r="C27" s="15"/>
      <c r="D27" s="15"/>
      <c r="E27" s="15"/>
      <c r="F27" s="15">
        <f t="shared" si="0"/>
        <v>0</v>
      </c>
      <c r="G27" s="15"/>
      <c r="H27" s="56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</row>
    <row r="28" spans="1:20" ht="25.5" customHeight="1" x14ac:dyDescent="0.25">
      <c r="A28" s="59">
        <v>45049</v>
      </c>
      <c r="B28" s="15"/>
      <c r="C28" s="15"/>
      <c r="D28" s="15"/>
      <c r="E28" s="15"/>
      <c r="F28" s="15">
        <f t="shared" si="0"/>
        <v>0</v>
      </c>
      <c r="G28" s="15"/>
      <c r="H28" s="56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</row>
    <row r="29" spans="1:20" ht="25.5" customHeight="1" x14ac:dyDescent="0.25">
      <c r="A29" s="59">
        <v>45049</v>
      </c>
      <c r="B29" s="15"/>
      <c r="C29" s="15"/>
      <c r="D29" s="15"/>
      <c r="E29" s="15"/>
      <c r="F29" s="15">
        <f t="shared" si="0"/>
        <v>0</v>
      </c>
      <c r="G29" s="15"/>
      <c r="H29" s="56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</row>
    <row r="30" spans="1:20" ht="25.5" customHeight="1" x14ac:dyDescent="0.25">
      <c r="A30" s="59">
        <v>45049</v>
      </c>
      <c r="B30" s="15"/>
      <c r="C30" s="15"/>
      <c r="D30" s="15"/>
      <c r="E30" s="15"/>
      <c r="F30" s="15">
        <f t="shared" si="0"/>
        <v>0</v>
      </c>
      <c r="G30" s="15"/>
      <c r="H30" s="56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</row>
    <row r="31" spans="1:20" ht="25.5" customHeight="1" x14ac:dyDescent="0.25">
      <c r="A31" s="59">
        <v>45049</v>
      </c>
      <c r="B31" s="15"/>
      <c r="C31" s="15"/>
      <c r="D31" s="15"/>
      <c r="E31" s="15"/>
      <c r="F31" s="15">
        <f t="shared" si="0"/>
        <v>0</v>
      </c>
      <c r="G31" s="15"/>
      <c r="H31" s="56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</row>
    <row r="32" spans="1:20" ht="25.5" customHeight="1" x14ac:dyDescent="0.25">
      <c r="A32" s="59">
        <v>45049</v>
      </c>
      <c r="B32" s="15"/>
      <c r="C32" s="15"/>
      <c r="D32" s="15"/>
      <c r="E32" s="15"/>
      <c r="F32" s="15">
        <f t="shared" si="0"/>
        <v>0</v>
      </c>
      <c r="G32" s="15"/>
      <c r="H32" s="56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</row>
    <row r="33" spans="1:20" ht="25.5" customHeight="1" x14ac:dyDescent="0.25">
      <c r="A33" s="59">
        <v>45049</v>
      </c>
      <c r="B33" s="15"/>
      <c r="C33" s="15"/>
      <c r="D33" s="15"/>
      <c r="E33" s="15"/>
      <c r="F33" s="15">
        <f t="shared" si="0"/>
        <v>0</v>
      </c>
      <c r="G33" s="15"/>
      <c r="H33" s="56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</row>
    <row r="34" spans="1:20" ht="25.5" customHeight="1" x14ac:dyDescent="0.25">
      <c r="A34" s="59">
        <v>45049</v>
      </c>
      <c r="B34" s="15"/>
      <c r="C34" s="15"/>
      <c r="D34" s="15"/>
      <c r="E34" s="15"/>
      <c r="F34" s="15">
        <f t="shared" si="0"/>
        <v>0</v>
      </c>
      <c r="G34" s="15"/>
      <c r="H34" s="56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</row>
    <row r="35" spans="1:20" ht="25.5" customHeight="1" x14ac:dyDescent="0.25">
      <c r="A35" s="59">
        <v>45049</v>
      </c>
      <c r="B35" s="15"/>
      <c r="C35" s="15"/>
      <c r="D35" s="15"/>
      <c r="E35" s="15"/>
      <c r="F35" s="15">
        <f t="shared" si="0"/>
        <v>0</v>
      </c>
      <c r="G35" s="15"/>
      <c r="H35" s="56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</row>
    <row r="36" spans="1:20" ht="25.5" customHeight="1" x14ac:dyDescent="0.25">
      <c r="A36" s="59">
        <v>45049</v>
      </c>
      <c r="B36" s="15"/>
      <c r="C36" s="15"/>
      <c r="D36" s="15"/>
      <c r="E36" s="15"/>
      <c r="F36" s="15">
        <f t="shared" si="0"/>
        <v>0</v>
      </c>
      <c r="G36" s="15"/>
      <c r="H36" s="56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</row>
    <row r="37" spans="1:20" ht="25.5" customHeight="1" x14ac:dyDescent="0.25">
      <c r="A37" s="59">
        <v>45049</v>
      </c>
      <c r="B37" s="15"/>
      <c r="C37" s="15"/>
      <c r="D37" s="15"/>
      <c r="E37" s="15"/>
      <c r="F37" s="15">
        <f t="shared" si="0"/>
        <v>0</v>
      </c>
      <c r="G37" s="15"/>
      <c r="H37" s="56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</row>
    <row r="38" spans="1:20" ht="25.5" customHeight="1" x14ac:dyDescent="0.25">
      <c r="A38" s="59">
        <v>45049</v>
      </c>
      <c r="B38" s="15"/>
      <c r="C38" s="15"/>
      <c r="D38" s="15"/>
      <c r="E38" s="15"/>
      <c r="F38" s="15">
        <f t="shared" si="0"/>
        <v>0</v>
      </c>
      <c r="G38" s="15"/>
      <c r="H38" s="56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</row>
    <row r="39" spans="1:20" ht="41.25" customHeight="1" x14ac:dyDescent="0.25">
      <c r="A39" s="161" t="s">
        <v>6</v>
      </c>
      <c r="B39" s="161"/>
      <c r="C39" s="161"/>
      <c r="D39" s="15">
        <f>SUM(D4:D38)</f>
        <v>5324</v>
      </c>
      <c r="E39" s="55"/>
      <c r="F39" s="15">
        <f>SUM(F4:F38)</f>
        <v>2463</v>
      </c>
      <c r="G39" s="15">
        <f t="shared" ref="G39:T39" si="1">SUM(G4:G38)</f>
        <v>1870</v>
      </c>
      <c r="H39" s="56">
        <f t="shared" si="1"/>
        <v>6</v>
      </c>
      <c r="I39" s="15">
        <f t="shared" si="1"/>
        <v>0</v>
      </c>
      <c r="J39" s="15">
        <f t="shared" si="1"/>
        <v>0</v>
      </c>
      <c r="K39" s="15">
        <f t="shared" si="1"/>
        <v>0</v>
      </c>
      <c r="L39" s="15">
        <f t="shared" si="1"/>
        <v>203</v>
      </c>
      <c r="M39" s="15">
        <f t="shared" si="1"/>
        <v>10</v>
      </c>
      <c r="N39" s="15">
        <f t="shared" si="1"/>
        <v>110</v>
      </c>
      <c r="O39" s="15">
        <f t="shared" si="1"/>
        <v>0</v>
      </c>
      <c r="P39" s="15">
        <f t="shared" si="1"/>
        <v>10</v>
      </c>
      <c r="Q39" s="15">
        <f t="shared" si="1"/>
        <v>0</v>
      </c>
      <c r="R39" s="15">
        <f t="shared" si="1"/>
        <v>200</v>
      </c>
      <c r="S39" s="15">
        <f t="shared" si="1"/>
        <v>0</v>
      </c>
      <c r="T39" s="15">
        <f t="shared" si="1"/>
        <v>0</v>
      </c>
    </row>
    <row r="40" spans="1:20" ht="15.75" thickBot="1" x14ac:dyDescent="0.3"/>
    <row r="41" spans="1:20" ht="30.75" customHeight="1" thickTop="1" thickBot="1" x14ac:dyDescent="0.3">
      <c r="E41" s="2" t="s">
        <v>26</v>
      </c>
      <c r="F41" s="3" t="s">
        <v>27</v>
      </c>
      <c r="G41" s="4" t="s">
        <v>28</v>
      </c>
    </row>
    <row r="42" spans="1:20" ht="48.75" customHeight="1" thickTop="1" x14ac:dyDescent="0.25">
      <c r="A42" s="2" t="s">
        <v>19</v>
      </c>
      <c r="B42" s="6">
        <f>+D39</f>
        <v>5324</v>
      </c>
      <c r="C42" s="7"/>
      <c r="E42" s="5">
        <v>200</v>
      </c>
      <c r="F42" s="6">
        <v>7</v>
      </c>
      <c r="G42" s="7">
        <f>+E42*F42</f>
        <v>1400</v>
      </c>
    </row>
    <row r="43" spans="1:20" ht="46.5" customHeight="1" x14ac:dyDescent="0.25">
      <c r="A43" s="9" t="s">
        <v>20</v>
      </c>
      <c r="B43" s="6">
        <f>D8</f>
        <v>1263</v>
      </c>
      <c r="C43" s="7"/>
      <c r="E43" s="5">
        <v>100</v>
      </c>
      <c r="F43" s="6">
        <v>1</v>
      </c>
      <c r="G43" s="7">
        <f t="shared" ref="G43:G45" si="2">+E43*F43</f>
        <v>100</v>
      </c>
    </row>
    <row r="44" spans="1:20" ht="46.5" customHeight="1" x14ac:dyDescent="0.25">
      <c r="A44" s="9" t="s">
        <v>21</v>
      </c>
      <c r="B44" s="6">
        <f>F39</f>
        <v>2463</v>
      </c>
      <c r="C44" s="7"/>
      <c r="E44" s="5">
        <v>50</v>
      </c>
      <c r="F44" s="6">
        <v>1</v>
      </c>
      <c r="G44" s="7">
        <f t="shared" si="2"/>
        <v>50</v>
      </c>
    </row>
    <row r="45" spans="1:20" ht="51.75" customHeight="1" x14ac:dyDescent="0.25">
      <c r="A45" s="9" t="s">
        <v>22</v>
      </c>
      <c r="B45" s="11">
        <f>+B42-B43-B44</f>
        <v>1598</v>
      </c>
      <c r="C45" s="12"/>
      <c r="E45" s="5">
        <v>20</v>
      </c>
      <c r="F45" s="6">
        <v>2</v>
      </c>
      <c r="G45" s="7">
        <f t="shared" si="2"/>
        <v>40</v>
      </c>
    </row>
    <row r="46" spans="1:20" ht="46.5" customHeight="1" x14ac:dyDescent="0.25">
      <c r="A46" s="9" t="s">
        <v>23</v>
      </c>
      <c r="B46" s="11">
        <f>G49</f>
        <v>1598</v>
      </c>
      <c r="C46" s="12"/>
      <c r="D46" s="1"/>
      <c r="E46" s="5">
        <v>10</v>
      </c>
      <c r="F46" s="6"/>
      <c r="G46" s="7">
        <f>+E46*F46</f>
        <v>0</v>
      </c>
    </row>
    <row r="47" spans="1:20" ht="34.5" customHeight="1" x14ac:dyDescent="0.25">
      <c r="A47" s="9" t="s">
        <v>24</v>
      </c>
      <c r="B47" s="11">
        <f>IF(B45&lt;B46,B46-B45,0)</f>
        <v>0</v>
      </c>
      <c r="C47" s="12"/>
      <c r="E47" s="5">
        <v>5</v>
      </c>
      <c r="F47" s="6">
        <v>1</v>
      </c>
      <c r="G47" s="7">
        <f>+E47*F47</f>
        <v>5</v>
      </c>
    </row>
    <row r="48" spans="1:20" ht="36.75" customHeight="1" x14ac:dyDescent="0.25">
      <c r="A48" s="9" t="s">
        <v>7</v>
      </c>
      <c r="B48" s="11">
        <f>IF(B45&gt;B46,B45-B46,0)</f>
        <v>0</v>
      </c>
      <c r="C48" s="12"/>
      <c r="E48" s="5">
        <v>1</v>
      </c>
      <c r="F48" s="6">
        <v>3</v>
      </c>
      <c r="G48" s="7">
        <f>+E48*F48</f>
        <v>3</v>
      </c>
    </row>
    <row r="49" spans="1:7" ht="30" customHeight="1" thickBot="1" x14ac:dyDescent="0.35">
      <c r="A49" s="10" t="s">
        <v>29</v>
      </c>
      <c r="B49" s="13" t="b">
        <f>B45=B46</f>
        <v>1</v>
      </c>
      <c r="C49" s="14"/>
      <c r="E49" s="159" t="s">
        <v>25</v>
      </c>
      <c r="F49" s="160"/>
      <c r="G49" s="8">
        <f>SUM(G42:G48)</f>
        <v>1598</v>
      </c>
    </row>
    <row r="50" spans="1:7" ht="15.75" thickTop="1" x14ac:dyDescent="0.25"/>
  </sheetData>
  <mergeCells count="3">
    <mergeCell ref="E49:F49"/>
    <mergeCell ref="E2:L2"/>
    <mergeCell ref="A39:C39"/>
  </mergeCells>
  <printOptions horizontalCentered="1" verticalCentered="1"/>
  <pageMargins left="0" right="0" top="0" bottom="0" header="0.31496062992125984" footer="0.31496062992125984"/>
  <pageSetup paperSize="9" scale="42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0"/>
  <sheetViews>
    <sheetView rightToLeft="1" topLeftCell="A44" zoomScale="70" zoomScaleNormal="70" workbookViewId="0">
      <selection activeCell="A3" sqref="A3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4.14062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4.42578125" bestFit="1" customWidth="1"/>
    <col min="16" max="16" width="15.85546875" bestFit="1" customWidth="1"/>
    <col min="18" max="18" width="15.85546875" bestFit="1" customWidth="1"/>
    <col min="19" max="19" width="14" customWidth="1"/>
    <col min="20" max="20" width="10.140625" customWidth="1"/>
  </cols>
  <sheetData>
    <row r="1" spans="1:20" ht="15.75" hidden="1" thickBot="1" x14ac:dyDescent="0.3"/>
    <row r="2" spans="1:20" ht="25.5" customHeight="1" thickBot="1" x14ac:dyDescent="0.3">
      <c r="A2" s="50" t="s">
        <v>0</v>
      </c>
      <c r="B2" s="51"/>
      <c r="C2" s="51"/>
      <c r="D2" s="52"/>
      <c r="E2" s="157">
        <f ca="1">TODAY()</f>
        <v>45118</v>
      </c>
      <c r="F2" s="158"/>
      <c r="G2" s="158"/>
      <c r="H2" s="158"/>
      <c r="I2" s="158"/>
      <c r="J2" s="158"/>
      <c r="K2" s="158"/>
      <c r="L2" s="158"/>
      <c r="M2" s="53"/>
      <c r="N2" s="53"/>
      <c r="O2" s="53"/>
      <c r="P2" s="53"/>
      <c r="Q2" s="53"/>
      <c r="R2" s="53"/>
      <c r="S2" s="53"/>
      <c r="T2" s="53"/>
    </row>
    <row r="3" spans="1:20" ht="36.75" customHeight="1" x14ac:dyDescent="0.25">
      <c r="A3" s="54" t="s">
        <v>4</v>
      </c>
      <c r="B3" s="54" t="s">
        <v>3</v>
      </c>
      <c r="C3" s="54" t="s">
        <v>1</v>
      </c>
      <c r="D3" s="54" t="s">
        <v>2</v>
      </c>
      <c r="E3" s="54" t="s">
        <v>1</v>
      </c>
      <c r="F3" s="54" t="s">
        <v>13</v>
      </c>
      <c r="G3" s="54" t="s">
        <v>5</v>
      </c>
      <c r="H3" s="57" t="s">
        <v>8</v>
      </c>
      <c r="I3" s="18" t="s">
        <v>9</v>
      </c>
      <c r="J3" s="18" t="s">
        <v>10</v>
      </c>
      <c r="K3" s="18" t="s">
        <v>11</v>
      </c>
      <c r="L3" s="18" t="s">
        <v>12</v>
      </c>
      <c r="M3" s="18" t="s">
        <v>31</v>
      </c>
      <c r="N3" s="18" t="s">
        <v>45</v>
      </c>
      <c r="O3" s="18" t="s">
        <v>32</v>
      </c>
      <c r="P3" s="18" t="s">
        <v>34</v>
      </c>
      <c r="Q3" s="18" t="s">
        <v>35</v>
      </c>
      <c r="R3" s="18" t="s">
        <v>39</v>
      </c>
      <c r="S3" s="18" t="s">
        <v>38</v>
      </c>
      <c r="T3" s="19" t="s">
        <v>40</v>
      </c>
    </row>
    <row r="4" spans="1:20" ht="25.5" customHeight="1" x14ac:dyDescent="0.25">
      <c r="A4" s="59">
        <v>45050</v>
      </c>
      <c r="B4" s="15"/>
      <c r="C4" s="15" t="s">
        <v>14</v>
      </c>
      <c r="D4" s="15">
        <f>788+911</f>
        <v>1699</v>
      </c>
      <c r="E4" s="15" t="s">
        <v>12</v>
      </c>
      <c r="F4" s="15">
        <f>SUM(G4:T4)</f>
        <v>225</v>
      </c>
      <c r="G4" s="15"/>
      <c r="H4" s="56"/>
      <c r="I4" s="15"/>
      <c r="J4" s="15"/>
      <c r="K4" s="15"/>
      <c r="L4" s="15">
        <f>45+90+90</f>
        <v>225</v>
      </c>
      <c r="M4" s="15"/>
      <c r="N4" s="15"/>
      <c r="O4" s="15"/>
      <c r="P4" s="15"/>
      <c r="Q4" s="15"/>
      <c r="R4" s="15"/>
      <c r="S4" s="15"/>
      <c r="T4" s="15"/>
    </row>
    <row r="5" spans="1:20" ht="25.5" customHeight="1" x14ac:dyDescent="0.25">
      <c r="A5" s="59">
        <v>45050</v>
      </c>
      <c r="B5" s="15"/>
      <c r="C5" s="15" t="s">
        <v>15</v>
      </c>
      <c r="D5" s="15">
        <f>2100+1042</f>
        <v>3142</v>
      </c>
      <c r="E5" s="15" t="s">
        <v>122</v>
      </c>
      <c r="F5" s="15">
        <f t="shared" ref="F5:F38" si="0">SUM(G5:T5)</f>
        <v>50</v>
      </c>
      <c r="G5" s="15"/>
      <c r="H5" s="56">
        <v>50</v>
      </c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</row>
    <row r="6" spans="1:20" ht="25.5" customHeight="1" x14ac:dyDescent="0.25">
      <c r="A6" s="59">
        <v>45050</v>
      </c>
      <c r="B6" s="15"/>
      <c r="C6" s="15" t="s">
        <v>16</v>
      </c>
      <c r="D6" s="15">
        <v>0</v>
      </c>
      <c r="E6" s="15" t="s">
        <v>123</v>
      </c>
      <c r="F6" s="15">
        <f t="shared" si="0"/>
        <v>10</v>
      </c>
      <c r="G6" s="15"/>
      <c r="H6" s="56"/>
      <c r="I6" s="15"/>
      <c r="J6" s="15"/>
      <c r="K6" s="15"/>
      <c r="L6" s="15"/>
      <c r="M6" s="15"/>
      <c r="N6" s="15">
        <v>10</v>
      </c>
      <c r="O6" s="15"/>
      <c r="P6" s="15"/>
      <c r="Q6" s="15"/>
      <c r="R6" s="15"/>
      <c r="S6" s="15"/>
      <c r="T6" s="15"/>
    </row>
    <row r="7" spans="1:20" ht="25.5" customHeight="1" x14ac:dyDescent="0.25">
      <c r="A7" s="59">
        <v>45050</v>
      </c>
      <c r="B7" s="15"/>
      <c r="C7" s="15" t="s">
        <v>17</v>
      </c>
      <c r="D7" s="15">
        <f>30</f>
        <v>30</v>
      </c>
      <c r="E7" s="15" t="s">
        <v>66</v>
      </c>
      <c r="F7" s="15">
        <f t="shared" si="0"/>
        <v>200</v>
      </c>
      <c r="G7" s="15"/>
      <c r="H7" s="56"/>
      <c r="I7" s="15"/>
      <c r="J7" s="15"/>
      <c r="K7" s="15"/>
      <c r="L7" s="15"/>
      <c r="M7" s="15"/>
      <c r="N7" s="15"/>
      <c r="O7" s="15"/>
      <c r="P7" s="15"/>
      <c r="Q7" s="15"/>
      <c r="R7" s="15">
        <v>200</v>
      </c>
      <c r="S7" s="15"/>
      <c r="T7" s="15"/>
    </row>
    <row r="8" spans="1:20" ht="25.5" customHeight="1" x14ac:dyDescent="0.25">
      <c r="A8" s="59">
        <v>45050</v>
      </c>
      <c r="B8" s="15"/>
      <c r="C8" s="15" t="s">
        <v>18</v>
      </c>
      <c r="D8" s="15">
        <f>40+25+20+80+25+75+45+13+72+25+20+104+50+100+25+20+100+155</f>
        <v>994</v>
      </c>
      <c r="E8" s="15" t="s">
        <v>114</v>
      </c>
      <c r="F8" s="15">
        <f t="shared" si="0"/>
        <v>10</v>
      </c>
      <c r="G8" s="15"/>
      <c r="H8" s="56"/>
      <c r="I8" s="15"/>
      <c r="J8" s="15"/>
      <c r="K8" s="15"/>
      <c r="L8" s="15"/>
      <c r="M8" s="15"/>
      <c r="N8" s="15"/>
      <c r="O8" s="15"/>
      <c r="P8" s="15">
        <v>10</v>
      </c>
      <c r="Q8" s="15"/>
      <c r="R8" s="15"/>
      <c r="S8" s="15"/>
      <c r="T8" s="15"/>
    </row>
    <row r="9" spans="1:20" ht="25.5" customHeight="1" x14ac:dyDescent="0.25">
      <c r="A9" s="59">
        <v>45050</v>
      </c>
      <c r="B9" s="15"/>
      <c r="C9" s="15" t="s">
        <v>30</v>
      </c>
      <c r="D9" s="15">
        <v>-1</v>
      </c>
      <c r="E9" s="15" t="s">
        <v>124</v>
      </c>
      <c r="F9" s="15">
        <f t="shared" si="0"/>
        <v>555</v>
      </c>
      <c r="G9" s="15"/>
      <c r="H9" s="56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>
        <v>555</v>
      </c>
    </row>
    <row r="10" spans="1:20" ht="25.5" customHeight="1" x14ac:dyDescent="0.25">
      <c r="A10" s="59">
        <v>45050</v>
      </c>
      <c r="B10" s="15"/>
      <c r="C10" s="15" t="s">
        <v>46</v>
      </c>
      <c r="D10" s="15"/>
      <c r="E10" s="15" t="s">
        <v>125</v>
      </c>
      <c r="F10" s="15">
        <f t="shared" si="0"/>
        <v>20</v>
      </c>
      <c r="G10" s="15"/>
      <c r="H10" s="56"/>
      <c r="I10" s="15"/>
      <c r="J10" s="15"/>
      <c r="K10" s="15"/>
      <c r="L10" s="15"/>
      <c r="M10" s="15">
        <v>20</v>
      </c>
      <c r="N10" s="15"/>
      <c r="O10" s="15"/>
      <c r="P10" s="15"/>
      <c r="Q10" s="15"/>
      <c r="R10" s="15"/>
      <c r="S10" s="15"/>
      <c r="T10" s="15"/>
    </row>
    <row r="11" spans="1:20" ht="25.5" customHeight="1" x14ac:dyDescent="0.25">
      <c r="A11" s="59">
        <v>45050</v>
      </c>
      <c r="B11" s="15"/>
      <c r="C11" s="15"/>
      <c r="D11" s="15"/>
      <c r="E11" s="15" t="s">
        <v>126</v>
      </c>
      <c r="F11" s="15">
        <f t="shared" si="0"/>
        <v>170</v>
      </c>
      <c r="G11" s="15">
        <v>170</v>
      </c>
      <c r="H11" s="56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</row>
    <row r="12" spans="1:20" ht="25.5" customHeight="1" x14ac:dyDescent="0.25">
      <c r="A12" s="59">
        <v>45050</v>
      </c>
      <c r="B12" s="15"/>
      <c r="C12" s="15"/>
      <c r="D12" s="15"/>
      <c r="E12" s="15" t="s">
        <v>79</v>
      </c>
      <c r="F12" s="15">
        <f t="shared" si="0"/>
        <v>50</v>
      </c>
      <c r="G12" s="15">
        <v>50</v>
      </c>
      <c r="H12" s="56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</row>
    <row r="13" spans="1:20" ht="25.5" customHeight="1" x14ac:dyDescent="0.25">
      <c r="A13" s="59">
        <v>45050</v>
      </c>
      <c r="B13" s="15"/>
      <c r="C13" s="15"/>
      <c r="D13" s="15"/>
      <c r="E13" s="15" t="s">
        <v>73</v>
      </c>
      <c r="F13" s="15">
        <f t="shared" si="0"/>
        <v>170</v>
      </c>
      <c r="G13" s="15">
        <v>170</v>
      </c>
      <c r="H13" s="56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ht="25.5" customHeight="1" x14ac:dyDescent="0.25">
      <c r="A14" s="59">
        <v>45050</v>
      </c>
      <c r="B14" s="15"/>
      <c r="C14" s="15"/>
      <c r="D14" s="15"/>
      <c r="E14" s="15" t="s">
        <v>74</v>
      </c>
      <c r="F14" s="15">
        <f t="shared" si="0"/>
        <v>150</v>
      </c>
      <c r="G14" s="15">
        <v>150</v>
      </c>
      <c r="H14" s="56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ht="25.5" customHeight="1" x14ac:dyDescent="0.25">
      <c r="A15" s="59">
        <v>45050</v>
      </c>
      <c r="B15" s="15"/>
      <c r="C15" s="15"/>
      <c r="D15" s="15"/>
      <c r="E15" s="15" t="s">
        <v>76</v>
      </c>
      <c r="F15" s="15">
        <f t="shared" si="0"/>
        <v>150</v>
      </c>
      <c r="G15" s="15">
        <v>150</v>
      </c>
      <c r="H15" s="56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ht="25.5" customHeight="1" x14ac:dyDescent="0.25">
      <c r="A16" s="59">
        <v>45050</v>
      </c>
      <c r="B16" s="15"/>
      <c r="C16" s="15"/>
      <c r="D16" s="15"/>
      <c r="E16" s="15" t="s">
        <v>77</v>
      </c>
      <c r="F16" s="15">
        <f t="shared" si="0"/>
        <v>100</v>
      </c>
      <c r="G16" s="15">
        <v>100</v>
      </c>
      <c r="H16" s="56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</row>
    <row r="17" spans="1:20" ht="25.5" customHeight="1" x14ac:dyDescent="0.25">
      <c r="A17" s="59">
        <v>45050</v>
      </c>
      <c r="B17" s="15"/>
      <c r="C17" s="15"/>
      <c r="D17" s="15"/>
      <c r="E17" s="15" t="s">
        <v>121</v>
      </c>
      <c r="F17" s="15">
        <f t="shared" si="0"/>
        <v>160</v>
      </c>
      <c r="G17" s="15">
        <v>160</v>
      </c>
      <c r="H17" s="56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</row>
    <row r="18" spans="1:20" ht="25.5" customHeight="1" x14ac:dyDescent="0.25">
      <c r="A18" s="59">
        <v>45050</v>
      </c>
      <c r="B18" s="15"/>
      <c r="C18" s="15"/>
      <c r="D18" s="15"/>
      <c r="E18" s="15" t="s">
        <v>80</v>
      </c>
      <c r="F18" s="15">
        <f t="shared" si="0"/>
        <v>50</v>
      </c>
      <c r="G18" s="15">
        <v>50</v>
      </c>
      <c r="H18" s="56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ht="25.5" customHeight="1" x14ac:dyDescent="0.25">
      <c r="A19" s="59">
        <v>45050</v>
      </c>
      <c r="B19" s="15"/>
      <c r="C19" s="15"/>
      <c r="D19" s="15"/>
      <c r="E19" s="15" t="s">
        <v>120</v>
      </c>
      <c r="F19" s="15">
        <f t="shared" si="0"/>
        <v>50</v>
      </c>
      <c r="G19" s="15">
        <v>50</v>
      </c>
      <c r="H19" s="56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ht="25.5" customHeight="1" x14ac:dyDescent="0.25">
      <c r="A20" s="59">
        <v>45050</v>
      </c>
      <c r="B20" s="15"/>
      <c r="C20" s="15"/>
      <c r="D20" s="15"/>
      <c r="E20" s="15" t="s">
        <v>88</v>
      </c>
      <c r="F20" s="15">
        <f t="shared" si="0"/>
        <v>150</v>
      </c>
      <c r="G20" s="15">
        <v>150</v>
      </c>
      <c r="H20" s="56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ht="25.5" customHeight="1" x14ac:dyDescent="0.25">
      <c r="A21" s="59">
        <v>45050</v>
      </c>
      <c r="B21" s="15"/>
      <c r="C21" s="15"/>
      <c r="D21" s="15"/>
      <c r="E21" s="15" t="s">
        <v>127</v>
      </c>
      <c r="F21" s="15">
        <f t="shared" si="0"/>
        <v>200</v>
      </c>
      <c r="G21" s="15">
        <v>200</v>
      </c>
      <c r="H21" s="56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25.5" customHeight="1" x14ac:dyDescent="0.25">
      <c r="A22" s="59">
        <v>45050</v>
      </c>
      <c r="B22" s="15"/>
      <c r="C22" s="15"/>
      <c r="D22" s="15"/>
      <c r="E22" s="15" t="s">
        <v>83</v>
      </c>
      <c r="F22" s="15">
        <f t="shared" si="0"/>
        <v>30</v>
      </c>
      <c r="G22" s="15">
        <v>30</v>
      </c>
      <c r="H22" s="56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</row>
    <row r="23" spans="1:20" ht="25.5" customHeight="1" x14ac:dyDescent="0.25">
      <c r="A23" s="59">
        <v>45050</v>
      </c>
      <c r="B23" s="15"/>
      <c r="C23" s="15"/>
      <c r="D23" s="15"/>
      <c r="E23" s="15" t="s">
        <v>84</v>
      </c>
      <c r="F23" s="15">
        <f t="shared" si="0"/>
        <v>170</v>
      </c>
      <c r="G23" s="15">
        <v>170</v>
      </c>
      <c r="H23" s="56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</row>
    <row r="24" spans="1:20" ht="25.5" customHeight="1" x14ac:dyDescent="0.25">
      <c r="A24" s="59">
        <v>45050</v>
      </c>
      <c r="B24" s="15"/>
      <c r="C24" s="15"/>
      <c r="D24" s="15"/>
      <c r="E24" s="15" t="s">
        <v>86</v>
      </c>
      <c r="F24" s="15">
        <f t="shared" si="0"/>
        <v>150</v>
      </c>
      <c r="G24" s="15">
        <v>150</v>
      </c>
      <c r="H24" s="56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</row>
    <row r="25" spans="1:20" ht="25.5" customHeight="1" x14ac:dyDescent="0.25">
      <c r="A25" s="59">
        <v>45050</v>
      </c>
      <c r="B25" s="15"/>
      <c r="C25" s="15"/>
      <c r="D25" s="15"/>
      <c r="E25" s="15" t="s">
        <v>85</v>
      </c>
      <c r="F25" s="15">
        <f t="shared" si="0"/>
        <v>100</v>
      </c>
      <c r="G25" s="15">
        <v>100</v>
      </c>
      <c r="H25" s="56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</row>
    <row r="26" spans="1:20" ht="25.5" customHeight="1" x14ac:dyDescent="0.25">
      <c r="A26" s="59">
        <v>45050</v>
      </c>
      <c r="B26" s="15"/>
      <c r="C26" s="15"/>
      <c r="D26" s="15"/>
      <c r="E26" s="15"/>
      <c r="F26" s="15">
        <f t="shared" si="0"/>
        <v>0</v>
      </c>
      <c r="G26" s="15"/>
      <c r="H26" s="56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</row>
    <row r="27" spans="1:20" ht="25.5" customHeight="1" x14ac:dyDescent="0.25">
      <c r="A27" s="59">
        <v>45050</v>
      </c>
      <c r="B27" s="15"/>
      <c r="C27" s="15"/>
      <c r="D27" s="15"/>
      <c r="E27" s="15"/>
      <c r="F27" s="15">
        <f t="shared" si="0"/>
        <v>0</v>
      </c>
      <c r="G27" s="15"/>
      <c r="H27" s="56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</row>
    <row r="28" spans="1:20" ht="25.5" customHeight="1" x14ac:dyDescent="0.25">
      <c r="A28" s="59">
        <v>45050</v>
      </c>
      <c r="B28" s="15"/>
      <c r="C28" s="15"/>
      <c r="D28" s="15"/>
      <c r="E28" s="15"/>
      <c r="F28" s="15">
        <f t="shared" si="0"/>
        <v>0</v>
      </c>
      <c r="G28" s="15"/>
      <c r="H28" s="56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</row>
    <row r="29" spans="1:20" ht="25.5" customHeight="1" x14ac:dyDescent="0.25">
      <c r="A29" s="59">
        <v>45050</v>
      </c>
      <c r="B29" s="15"/>
      <c r="C29" s="15"/>
      <c r="D29" s="15"/>
      <c r="E29" s="15"/>
      <c r="F29" s="15">
        <f t="shared" si="0"/>
        <v>0</v>
      </c>
      <c r="G29" s="15"/>
      <c r="H29" s="56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</row>
    <row r="30" spans="1:20" ht="25.5" customHeight="1" x14ac:dyDescent="0.25">
      <c r="A30" s="59">
        <v>45050</v>
      </c>
      <c r="B30" s="15"/>
      <c r="C30" s="15"/>
      <c r="D30" s="15"/>
      <c r="E30" s="15"/>
      <c r="F30" s="15">
        <f t="shared" si="0"/>
        <v>0</v>
      </c>
      <c r="G30" s="15"/>
      <c r="H30" s="56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</row>
    <row r="31" spans="1:20" ht="25.5" customHeight="1" x14ac:dyDescent="0.25">
      <c r="A31" s="59">
        <v>45050</v>
      </c>
      <c r="B31" s="15"/>
      <c r="C31" s="15"/>
      <c r="D31" s="15"/>
      <c r="E31" s="15"/>
      <c r="F31" s="15">
        <f t="shared" si="0"/>
        <v>0</v>
      </c>
      <c r="G31" s="15"/>
      <c r="H31" s="56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</row>
    <row r="32" spans="1:20" ht="25.5" customHeight="1" x14ac:dyDescent="0.25">
      <c r="A32" s="59">
        <v>45050</v>
      </c>
      <c r="B32" s="15"/>
      <c r="C32" s="15"/>
      <c r="D32" s="15"/>
      <c r="E32" s="15"/>
      <c r="F32" s="15">
        <f t="shared" si="0"/>
        <v>0</v>
      </c>
      <c r="G32" s="15"/>
      <c r="H32" s="56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</row>
    <row r="33" spans="1:20" ht="25.5" customHeight="1" x14ac:dyDescent="0.25">
      <c r="A33" s="59">
        <v>45050</v>
      </c>
      <c r="B33" s="15"/>
      <c r="C33" s="15"/>
      <c r="D33" s="15"/>
      <c r="E33" s="15"/>
      <c r="F33" s="15">
        <f t="shared" si="0"/>
        <v>0</v>
      </c>
      <c r="G33" s="15"/>
      <c r="H33" s="56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</row>
    <row r="34" spans="1:20" ht="25.5" customHeight="1" x14ac:dyDescent="0.25">
      <c r="A34" s="59">
        <v>45050</v>
      </c>
      <c r="B34" s="15"/>
      <c r="C34" s="15"/>
      <c r="D34" s="15"/>
      <c r="E34" s="15"/>
      <c r="F34" s="15">
        <f t="shared" si="0"/>
        <v>0</v>
      </c>
      <c r="G34" s="15"/>
      <c r="H34" s="56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</row>
    <row r="35" spans="1:20" ht="25.5" customHeight="1" x14ac:dyDescent="0.25">
      <c r="A35" s="59">
        <v>45050</v>
      </c>
      <c r="B35" s="15"/>
      <c r="C35" s="15"/>
      <c r="D35" s="15"/>
      <c r="E35" s="15"/>
      <c r="F35" s="15">
        <f t="shared" si="0"/>
        <v>0</v>
      </c>
      <c r="G35" s="15"/>
      <c r="H35" s="56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</row>
    <row r="36" spans="1:20" ht="25.5" customHeight="1" x14ac:dyDescent="0.25">
      <c r="A36" s="59">
        <v>45050</v>
      </c>
      <c r="B36" s="15"/>
      <c r="C36" s="15"/>
      <c r="D36" s="15"/>
      <c r="E36" s="15"/>
      <c r="F36" s="15">
        <f t="shared" si="0"/>
        <v>0</v>
      </c>
      <c r="G36" s="15"/>
      <c r="H36" s="56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</row>
    <row r="37" spans="1:20" ht="25.5" customHeight="1" x14ac:dyDescent="0.25">
      <c r="A37" s="59">
        <v>45050</v>
      </c>
      <c r="B37" s="15"/>
      <c r="C37" s="15"/>
      <c r="D37" s="15"/>
      <c r="E37" s="15"/>
      <c r="F37" s="15">
        <f t="shared" si="0"/>
        <v>0</v>
      </c>
      <c r="G37" s="15"/>
      <c r="H37" s="56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</row>
    <row r="38" spans="1:20" ht="25.5" customHeight="1" x14ac:dyDescent="0.25">
      <c r="A38" s="59">
        <v>45050</v>
      </c>
      <c r="B38" s="15"/>
      <c r="C38" s="15"/>
      <c r="D38" s="15"/>
      <c r="E38" s="15"/>
      <c r="F38" s="15">
        <f t="shared" si="0"/>
        <v>0</v>
      </c>
      <c r="G38" s="15"/>
      <c r="H38" s="56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</row>
    <row r="39" spans="1:20" ht="41.25" customHeight="1" x14ac:dyDescent="0.25">
      <c r="A39" s="161" t="s">
        <v>6</v>
      </c>
      <c r="B39" s="161"/>
      <c r="C39" s="161"/>
      <c r="D39" s="15">
        <f>SUM(D4:D38)</f>
        <v>5864</v>
      </c>
      <c r="E39" s="55"/>
      <c r="F39" s="15">
        <f>SUM(F4:F38)</f>
        <v>2920</v>
      </c>
      <c r="G39" s="15">
        <f t="shared" ref="G39:T39" si="1">SUM(G4:G38)</f>
        <v>1850</v>
      </c>
      <c r="H39" s="56">
        <f t="shared" si="1"/>
        <v>50</v>
      </c>
      <c r="I39" s="15">
        <f t="shared" si="1"/>
        <v>0</v>
      </c>
      <c r="J39" s="15">
        <f t="shared" si="1"/>
        <v>0</v>
      </c>
      <c r="K39" s="15">
        <f t="shared" si="1"/>
        <v>0</v>
      </c>
      <c r="L39" s="15">
        <f t="shared" si="1"/>
        <v>225</v>
      </c>
      <c r="M39" s="15">
        <f t="shared" si="1"/>
        <v>20</v>
      </c>
      <c r="N39" s="15">
        <f t="shared" si="1"/>
        <v>10</v>
      </c>
      <c r="O39" s="15">
        <f t="shared" si="1"/>
        <v>0</v>
      </c>
      <c r="P39" s="15">
        <f t="shared" si="1"/>
        <v>10</v>
      </c>
      <c r="Q39" s="15">
        <f t="shared" si="1"/>
        <v>0</v>
      </c>
      <c r="R39" s="15">
        <f t="shared" si="1"/>
        <v>200</v>
      </c>
      <c r="S39" s="15">
        <f t="shared" si="1"/>
        <v>0</v>
      </c>
      <c r="T39" s="15">
        <f t="shared" si="1"/>
        <v>555</v>
      </c>
    </row>
    <row r="40" spans="1:20" ht="15.75" thickBot="1" x14ac:dyDescent="0.3"/>
    <row r="41" spans="1:20" ht="30.75" customHeight="1" thickTop="1" thickBot="1" x14ac:dyDescent="0.3">
      <c r="E41" s="2" t="s">
        <v>26</v>
      </c>
      <c r="F41" s="3" t="s">
        <v>27</v>
      </c>
      <c r="G41" s="4" t="s">
        <v>28</v>
      </c>
    </row>
    <row r="42" spans="1:20" ht="48.75" customHeight="1" thickTop="1" x14ac:dyDescent="0.25">
      <c r="A42" s="2" t="s">
        <v>19</v>
      </c>
      <c r="B42" s="6">
        <f>+D39</f>
        <v>5864</v>
      </c>
      <c r="C42" s="7"/>
      <c r="E42" s="5">
        <v>200</v>
      </c>
      <c r="F42" s="6">
        <v>5</v>
      </c>
      <c r="G42" s="7">
        <f>+E42*F42</f>
        <v>1000</v>
      </c>
    </row>
    <row r="43" spans="1:20" ht="46.5" customHeight="1" x14ac:dyDescent="0.25">
      <c r="A43" s="9" t="s">
        <v>20</v>
      </c>
      <c r="B43" s="6">
        <f>D8</f>
        <v>994</v>
      </c>
      <c r="C43" s="7"/>
      <c r="E43" s="5">
        <v>100</v>
      </c>
      <c r="F43" s="6">
        <v>8</v>
      </c>
      <c r="G43" s="7">
        <f t="shared" ref="G43:G45" si="2">+E43*F43</f>
        <v>800</v>
      </c>
    </row>
    <row r="44" spans="1:20" ht="46.5" customHeight="1" x14ac:dyDescent="0.25">
      <c r="A44" s="9" t="s">
        <v>21</v>
      </c>
      <c r="B44" s="6">
        <f>F39</f>
        <v>2920</v>
      </c>
      <c r="C44" s="7"/>
      <c r="E44" s="5">
        <v>50</v>
      </c>
      <c r="F44" s="6">
        <v>3</v>
      </c>
      <c r="G44" s="7">
        <f t="shared" si="2"/>
        <v>150</v>
      </c>
    </row>
    <row r="45" spans="1:20" ht="51.75" customHeight="1" x14ac:dyDescent="0.25">
      <c r="A45" s="9" t="s">
        <v>22</v>
      </c>
      <c r="B45" s="11">
        <f>+B42-B43-B44</f>
        <v>1950</v>
      </c>
      <c r="C45" s="12"/>
      <c r="E45" s="5">
        <v>20</v>
      </c>
      <c r="F45" s="6">
        <v>1</v>
      </c>
      <c r="G45" s="7">
        <f t="shared" si="2"/>
        <v>20</v>
      </c>
    </row>
    <row r="46" spans="1:20" ht="46.5" customHeight="1" x14ac:dyDescent="0.25">
      <c r="A46" s="9" t="s">
        <v>23</v>
      </c>
      <c r="B46" s="11">
        <f>G49</f>
        <v>1970</v>
      </c>
      <c r="C46" s="12"/>
      <c r="D46" s="1"/>
      <c r="E46" s="5">
        <v>10</v>
      </c>
      <c r="F46" s="6"/>
      <c r="G46" s="7">
        <f>+E46*F46</f>
        <v>0</v>
      </c>
    </row>
    <row r="47" spans="1:20" ht="34.5" customHeight="1" x14ac:dyDescent="0.25">
      <c r="A47" s="9" t="s">
        <v>24</v>
      </c>
      <c r="B47" s="11">
        <f>IF(B45&lt;B46,B46-B45,0)</f>
        <v>20</v>
      </c>
      <c r="C47" s="12"/>
      <c r="E47" s="5">
        <v>5</v>
      </c>
      <c r="F47" s="6"/>
      <c r="G47" s="7">
        <f>+E47*F47</f>
        <v>0</v>
      </c>
    </row>
    <row r="48" spans="1:20" ht="36.75" customHeight="1" x14ac:dyDescent="0.25">
      <c r="A48" s="9" t="s">
        <v>7</v>
      </c>
      <c r="B48" s="11">
        <f>IF(B45&gt;B46,B45-B46,0)</f>
        <v>0</v>
      </c>
      <c r="C48" s="12"/>
      <c r="E48" s="5">
        <v>1</v>
      </c>
      <c r="F48" s="6"/>
      <c r="G48" s="7">
        <f>+E48*F48</f>
        <v>0</v>
      </c>
    </row>
    <row r="49" spans="1:7" ht="30" customHeight="1" thickBot="1" x14ac:dyDescent="0.35">
      <c r="A49" s="10" t="s">
        <v>29</v>
      </c>
      <c r="B49" s="13" t="b">
        <f>B45=B46</f>
        <v>0</v>
      </c>
      <c r="C49" s="14"/>
      <c r="E49" s="159" t="s">
        <v>25</v>
      </c>
      <c r="F49" s="160"/>
      <c r="G49" s="8">
        <f>SUM(G42:G48)</f>
        <v>1970</v>
      </c>
    </row>
    <row r="50" spans="1:7" ht="15.75" thickTop="1" x14ac:dyDescent="0.25"/>
  </sheetData>
  <mergeCells count="3">
    <mergeCell ref="E49:F49"/>
    <mergeCell ref="E2:L2"/>
    <mergeCell ref="A39:C39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6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2"/>
  <sheetViews>
    <sheetView rightToLeft="1" topLeftCell="A32" zoomScale="55" zoomScaleNormal="55" workbookViewId="0">
      <selection activeCell="K44" sqref="K44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4.14062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2.28515625" bestFit="1" customWidth="1"/>
    <col min="13" max="14" width="13.5703125" customWidth="1"/>
    <col min="15" max="15" width="19.140625" bestFit="1" customWidth="1"/>
    <col min="16" max="16" width="18.42578125" bestFit="1" customWidth="1"/>
    <col min="18" max="18" width="20.42578125" bestFit="1" customWidth="1"/>
    <col min="19" max="19" width="14" customWidth="1"/>
    <col min="20" max="20" width="11.85546875" bestFit="1" customWidth="1"/>
  </cols>
  <sheetData>
    <row r="1" spans="1:20" ht="15.75" hidden="1" thickBot="1" x14ac:dyDescent="0.3"/>
    <row r="2" spans="1:20" ht="25.5" customHeight="1" thickBot="1" x14ac:dyDescent="0.3">
      <c r="A2" s="50" t="s">
        <v>0</v>
      </c>
      <c r="B2" s="51"/>
      <c r="C2" s="51"/>
      <c r="D2" s="52"/>
      <c r="E2" s="157">
        <f ca="1">TODAY()</f>
        <v>45118</v>
      </c>
      <c r="F2" s="158"/>
      <c r="G2" s="158"/>
      <c r="H2" s="158"/>
      <c r="I2" s="158"/>
      <c r="J2" s="158"/>
      <c r="K2" s="158"/>
      <c r="L2" s="158"/>
      <c r="M2" s="53"/>
      <c r="N2" s="53"/>
      <c r="O2" s="53"/>
      <c r="P2" s="53"/>
      <c r="Q2" s="53"/>
      <c r="R2" s="53"/>
      <c r="S2" s="53"/>
      <c r="T2" s="53"/>
    </row>
    <row r="3" spans="1:20" ht="36.75" customHeight="1" x14ac:dyDescent="0.25">
      <c r="A3" s="65" t="s">
        <v>4</v>
      </c>
      <c r="B3" s="65" t="s">
        <v>3</v>
      </c>
      <c r="C3" s="65" t="s">
        <v>1</v>
      </c>
      <c r="D3" s="65" t="s">
        <v>2</v>
      </c>
      <c r="E3" s="65" t="s">
        <v>1</v>
      </c>
      <c r="F3" s="65" t="s">
        <v>13</v>
      </c>
      <c r="G3" s="65" t="s">
        <v>5</v>
      </c>
      <c r="H3" s="66" t="s">
        <v>8</v>
      </c>
      <c r="I3" s="67" t="s">
        <v>9</v>
      </c>
      <c r="J3" s="67" t="s">
        <v>10</v>
      </c>
      <c r="K3" s="67" t="s">
        <v>11</v>
      </c>
      <c r="L3" s="67" t="s">
        <v>12</v>
      </c>
      <c r="M3" s="67" t="s">
        <v>31</v>
      </c>
      <c r="N3" s="67" t="s">
        <v>45</v>
      </c>
      <c r="O3" s="67" t="s">
        <v>32</v>
      </c>
      <c r="P3" s="67" t="s">
        <v>34</v>
      </c>
      <c r="Q3" s="67" t="s">
        <v>35</v>
      </c>
      <c r="R3" s="67" t="s">
        <v>39</v>
      </c>
      <c r="S3" s="67" t="s">
        <v>38</v>
      </c>
      <c r="T3" s="68" t="s">
        <v>40</v>
      </c>
    </row>
    <row r="4" spans="1:20" ht="25.5" customHeight="1" x14ac:dyDescent="0.25">
      <c r="A4" s="69">
        <v>45082</v>
      </c>
      <c r="B4" s="64"/>
      <c r="C4" s="64" t="s">
        <v>14</v>
      </c>
      <c r="D4" s="64">
        <f>758+460</f>
        <v>1218</v>
      </c>
      <c r="E4" s="64" t="s">
        <v>129</v>
      </c>
      <c r="F4" s="64">
        <f>SUM(G4:T4)</f>
        <v>65</v>
      </c>
      <c r="G4" s="64"/>
      <c r="H4" s="70">
        <v>65</v>
      </c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</row>
    <row r="5" spans="1:20" ht="25.5" customHeight="1" x14ac:dyDescent="0.25">
      <c r="A5" s="69">
        <v>45082</v>
      </c>
      <c r="B5" s="64"/>
      <c r="C5" s="64" t="s">
        <v>15</v>
      </c>
      <c r="D5" s="64">
        <f>1793+1374</f>
        <v>3167</v>
      </c>
      <c r="E5" s="64" t="s">
        <v>112</v>
      </c>
      <c r="F5" s="64">
        <f t="shared" ref="F5:F38" si="0">SUM(G5:T5)</f>
        <v>100</v>
      </c>
      <c r="G5" s="64"/>
      <c r="H5" s="70"/>
      <c r="I5" s="64"/>
      <c r="J5" s="64"/>
      <c r="K5" s="64"/>
      <c r="L5" s="64"/>
      <c r="M5" s="64"/>
      <c r="N5" s="64"/>
      <c r="O5" s="64"/>
      <c r="P5" s="64"/>
      <c r="Q5" s="64"/>
      <c r="R5" s="64">
        <v>100</v>
      </c>
      <c r="S5" s="64"/>
      <c r="T5" s="64"/>
    </row>
    <row r="6" spans="1:20" ht="25.5" customHeight="1" x14ac:dyDescent="0.25">
      <c r="A6" s="69">
        <v>45082</v>
      </c>
      <c r="B6" s="64"/>
      <c r="C6" s="64" t="s">
        <v>16</v>
      </c>
      <c r="D6" s="64">
        <v>0</v>
      </c>
      <c r="E6" s="64" t="s">
        <v>130</v>
      </c>
      <c r="F6" s="64">
        <f t="shared" si="0"/>
        <v>15</v>
      </c>
      <c r="G6" s="64"/>
      <c r="H6" s="70">
        <v>15</v>
      </c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</row>
    <row r="7" spans="1:20" ht="25.5" customHeight="1" x14ac:dyDescent="0.25">
      <c r="A7" s="69">
        <v>45082</v>
      </c>
      <c r="B7" s="64"/>
      <c r="C7" s="64" t="s">
        <v>17</v>
      </c>
      <c r="D7" s="64">
        <f>20+300</f>
        <v>320</v>
      </c>
      <c r="E7" s="64" t="s">
        <v>68</v>
      </c>
      <c r="F7" s="64">
        <f t="shared" si="0"/>
        <v>135</v>
      </c>
      <c r="G7" s="64"/>
      <c r="H7" s="70"/>
      <c r="I7" s="64"/>
      <c r="J7" s="64"/>
      <c r="K7" s="64"/>
      <c r="L7" s="64">
        <f>90+45</f>
        <v>135</v>
      </c>
      <c r="M7" s="64"/>
      <c r="N7" s="64"/>
      <c r="O7" s="64"/>
      <c r="P7" s="64"/>
      <c r="Q7" s="64"/>
      <c r="R7" s="64"/>
      <c r="S7" s="64"/>
      <c r="T7" s="64"/>
    </row>
    <row r="8" spans="1:20" ht="25.5" customHeight="1" x14ac:dyDescent="0.25">
      <c r="A8" s="69">
        <v>45082</v>
      </c>
      <c r="B8" s="64"/>
      <c r="C8" s="64" t="s">
        <v>18</v>
      </c>
      <c r="D8" s="64">
        <f>25+500+70+40+50+2500+50+500+25+12+50+60+50+556+130+35</f>
        <v>4653</v>
      </c>
      <c r="E8" s="64" t="s">
        <v>114</v>
      </c>
      <c r="F8" s="64">
        <f t="shared" si="0"/>
        <v>5</v>
      </c>
      <c r="G8" s="64"/>
      <c r="H8" s="70"/>
      <c r="I8" s="64"/>
      <c r="J8" s="64"/>
      <c r="K8" s="64"/>
      <c r="L8" s="64"/>
      <c r="M8" s="64"/>
      <c r="N8" s="64"/>
      <c r="O8" s="64"/>
      <c r="P8" s="64">
        <v>5</v>
      </c>
      <c r="Q8" s="64"/>
      <c r="R8" s="64"/>
      <c r="S8" s="64"/>
      <c r="T8" s="64"/>
    </row>
    <row r="9" spans="1:20" ht="25.5" customHeight="1" x14ac:dyDescent="0.25">
      <c r="A9" s="69">
        <v>45082</v>
      </c>
      <c r="B9" s="64"/>
      <c r="C9" s="64" t="s">
        <v>30</v>
      </c>
      <c r="D9" s="64">
        <v>-10</v>
      </c>
      <c r="E9" s="64" t="s">
        <v>124</v>
      </c>
      <c r="F9" s="64">
        <f t="shared" si="0"/>
        <v>555</v>
      </c>
      <c r="G9" s="64"/>
      <c r="H9" s="70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>
        <v>555</v>
      </c>
    </row>
    <row r="10" spans="1:20" ht="25.5" customHeight="1" x14ac:dyDescent="0.25">
      <c r="A10" s="69">
        <v>45082</v>
      </c>
      <c r="B10" s="64"/>
      <c r="C10" s="64" t="s">
        <v>46</v>
      </c>
      <c r="D10" s="64">
        <v>0</v>
      </c>
      <c r="E10" s="64" t="s">
        <v>131</v>
      </c>
      <c r="F10" s="64">
        <f t="shared" si="0"/>
        <v>60</v>
      </c>
      <c r="G10" s="64"/>
      <c r="H10" s="70"/>
      <c r="I10" s="64"/>
      <c r="J10" s="64"/>
      <c r="K10" s="64"/>
      <c r="L10" s="64"/>
      <c r="M10" s="64"/>
      <c r="N10" s="64">
        <v>60</v>
      </c>
      <c r="O10" s="64"/>
      <c r="P10" s="64"/>
      <c r="Q10" s="64"/>
      <c r="R10" s="64"/>
      <c r="S10" s="64"/>
      <c r="T10" s="64"/>
    </row>
    <row r="11" spans="1:20" ht="25.5" customHeight="1" x14ac:dyDescent="0.25">
      <c r="A11" s="69">
        <v>45082</v>
      </c>
      <c r="B11" s="64"/>
      <c r="C11" s="64"/>
      <c r="D11" s="64"/>
      <c r="E11" s="64" t="s">
        <v>132</v>
      </c>
      <c r="F11" s="64">
        <f t="shared" si="0"/>
        <v>5</v>
      </c>
      <c r="G11" s="64"/>
      <c r="H11" s="70"/>
      <c r="I11" s="64"/>
      <c r="J11" s="64"/>
      <c r="K11" s="64"/>
      <c r="L11" s="64"/>
      <c r="M11" s="64"/>
      <c r="N11" s="64">
        <v>5</v>
      </c>
      <c r="O11" s="64"/>
      <c r="P11" s="64"/>
      <c r="Q11" s="64"/>
      <c r="R11" s="64"/>
      <c r="S11" s="64"/>
      <c r="T11" s="64"/>
    </row>
    <row r="12" spans="1:20" ht="25.5" customHeight="1" x14ac:dyDescent="0.25">
      <c r="A12" s="69">
        <v>45082</v>
      </c>
      <c r="B12" s="64"/>
      <c r="C12" s="64"/>
      <c r="D12" s="64"/>
      <c r="E12" s="64" t="s">
        <v>133</v>
      </c>
      <c r="F12" s="64">
        <f t="shared" si="0"/>
        <v>22.5</v>
      </c>
      <c r="G12" s="64"/>
      <c r="H12" s="70"/>
      <c r="I12" s="64"/>
      <c r="J12" s="64"/>
      <c r="K12" s="64"/>
      <c r="L12" s="64"/>
      <c r="M12" s="64"/>
      <c r="N12" s="64">
        <v>22.5</v>
      </c>
      <c r="O12" s="64"/>
      <c r="P12" s="64"/>
      <c r="Q12" s="64"/>
      <c r="R12" s="64"/>
      <c r="S12" s="64"/>
      <c r="T12" s="64"/>
    </row>
    <row r="13" spans="1:20" ht="25.5" customHeight="1" x14ac:dyDescent="0.25">
      <c r="A13" s="69">
        <v>45082</v>
      </c>
      <c r="B13" s="64"/>
      <c r="C13" s="64"/>
      <c r="D13" s="64"/>
      <c r="E13" s="64" t="s">
        <v>134</v>
      </c>
      <c r="F13" s="64">
        <f t="shared" si="0"/>
        <v>21.25</v>
      </c>
      <c r="G13" s="64"/>
      <c r="H13" s="70"/>
      <c r="I13" s="64"/>
      <c r="J13" s="64"/>
      <c r="K13" s="64"/>
      <c r="L13" s="64"/>
      <c r="M13" s="64"/>
      <c r="N13" s="64">
        <v>21.25</v>
      </c>
      <c r="O13" s="64"/>
      <c r="P13" s="64"/>
      <c r="Q13" s="64"/>
      <c r="R13" s="64"/>
      <c r="S13" s="64"/>
      <c r="T13" s="64"/>
    </row>
    <row r="14" spans="1:20" ht="25.5" customHeight="1" x14ac:dyDescent="0.25">
      <c r="A14" s="69">
        <v>45082</v>
      </c>
      <c r="B14" s="64"/>
      <c r="C14" s="64"/>
      <c r="D14" s="64"/>
      <c r="E14" s="64" t="s">
        <v>135</v>
      </c>
      <c r="F14" s="64">
        <f t="shared" si="0"/>
        <v>20</v>
      </c>
      <c r="G14" s="64"/>
      <c r="H14" s="70"/>
      <c r="I14" s="64"/>
      <c r="J14" s="64"/>
      <c r="K14" s="64"/>
      <c r="L14" s="64"/>
      <c r="M14" s="64"/>
      <c r="N14" s="64">
        <v>20</v>
      </c>
      <c r="O14" s="64"/>
      <c r="P14" s="64"/>
      <c r="Q14" s="64"/>
      <c r="R14" s="64"/>
      <c r="S14" s="64"/>
      <c r="T14" s="64"/>
    </row>
    <row r="15" spans="1:20" ht="25.5" customHeight="1" x14ac:dyDescent="0.25">
      <c r="A15" s="69">
        <v>45082</v>
      </c>
      <c r="B15" s="64"/>
      <c r="C15" s="64"/>
      <c r="D15" s="64"/>
      <c r="E15" s="64" t="s">
        <v>73</v>
      </c>
      <c r="F15" s="64">
        <f t="shared" si="0"/>
        <v>170</v>
      </c>
      <c r="G15" s="64">
        <v>170</v>
      </c>
      <c r="H15" s="70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</row>
    <row r="16" spans="1:20" ht="25.5" customHeight="1" x14ac:dyDescent="0.25">
      <c r="A16" s="69">
        <v>45082</v>
      </c>
      <c r="B16" s="64"/>
      <c r="C16" s="64"/>
      <c r="D16" s="64"/>
      <c r="E16" s="64" t="s">
        <v>74</v>
      </c>
      <c r="F16" s="64">
        <f t="shared" si="0"/>
        <v>150</v>
      </c>
      <c r="G16" s="64">
        <v>150</v>
      </c>
      <c r="H16" s="70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</row>
    <row r="17" spans="1:20" ht="25.5" customHeight="1" x14ac:dyDescent="0.25">
      <c r="A17" s="69">
        <v>45082</v>
      </c>
      <c r="B17" s="64"/>
      <c r="C17" s="64"/>
      <c r="D17" s="64"/>
      <c r="E17" s="64" t="s">
        <v>136</v>
      </c>
      <c r="F17" s="64">
        <f t="shared" si="0"/>
        <v>30</v>
      </c>
      <c r="G17" s="64">
        <v>30</v>
      </c>
      <c r="H17" s="70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</row>
    <row r="18" spans="1:20" ht="25.5" customHeight="1" x14ac:dyDescent="0.25">
      <c r="A18" s="69">
        <v>45082</v>
      </c>
      <c r="B18" s="64"/>
      <c r="C18" s="64"/>
      <c r="D18" s="64"/>
      <c r="E18" s="64" t="s">
        <v>76</v>
      </c>
      <c r="F18" s="64">
        <f t="shared" si="0"/>
        <v>150</v>
      </c>
      <c r="G18" s="64">
        <v>150</v>
      </c>
      <c r="H18" s="70"/>
      <c r="I18" s="64"/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4"/>
    </row>
    <row r="19" spans="1:20" ht="25.5" customHeight="1" x14ac:dyDescent="0.25">
      <c r="A19" s="69">
        <v>45082</v>
      </c>
      <c r="B19" s="64"/>
      <c r="C19" s="64"/>
      <c r="D19" s="64"/>
      <c r="E19" s="64" t="s">
        <v>121</v>
      </c>
      <c r="F19" s="64">
        <f t="shared" si="0"/>
        <v>160</v>
      </c>
      <c r="G19" s="64">
        <v>160</v>
      </c>
      <c r="H19" s="70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</row>
    <row r="20" spans="1:20" ht="25.5" customHeight="1" x14ac:dyDescent="0.25">
      <c r="A20" s="69">
        <v>45082</v>
      </c>
      <c r="B20" s="64"/>
      <c r="C20" s="64"/>
      <c r="D20" s="64"/>
      <c r="E20" s="64" t="s">
        <v>77</v>
      </c>
      <c r="F20" s="64">
        <f t="shared" si="0"/>
        <v>100</v>
      </c>
      <c r="G20" s="64">
        <v>100</v>
      </c>
      <c r="H20" s="70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</row>
    <row r="21" spans="1:20" ht="25.5" customHeight="1" x14ac:dyDescent="0.25">
      <c r="A21" s="69">
        <v>45082</v>
      </c>
      <c r="B21" s="64"/>
      <c r="C21" s="64"/>
      <c r="D21" s="64"/>
      <c r="E21" s="64" t="s">
        <v>80</v>
      </c>
      <c r="F21" s="64">
        <f t="shared" si="0"/>
        <v>50</v>
      </c>
      <c r="G21" s="64">
        <v>50</v>
      </c>
      <c r="H21" s="70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  <c r="T21" s="64"/>
    </row>
    <row r="22" spans="1:20" ht="25.5" customHeight="1" x14ac:dyDescent="0.25">
      <c r="A22" s="69">
        <v>45082</v>
      </c>
      <c r="B22" s="64"/>
      <c r="C22" s="64"/>
      <c r="D22" s="64"/>
      <c r="E22" s="64" t="s">
        <v>126</v>
      </c>
      <c r="F22" s="64">
        <f t="shared" si="0"/>
        <v>170</v>
      </c>
      <c r="G22" s="64">
        <v>170</v>
      </c>
      <c r="H22" s="70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</row>
    <row r="23" spans="1:20" ht="25.5" customHeight="1" x14ac:dyDescent="0.25">
      <c r="A23" s="69">
        <v>45082</v>
      </c>
      <c r="B23" s="64"/>
      <c r="C23" s="64"/>
      <c r="D23" s="64"/>
      <c r="E23" s="64" t="s">
        <v>79</v>
      </c>
      <c r="F23" s="64">
        <f t="shared" si="0"/>
        <v>50</v>
      </c>
      <c r="G23" s="64">
        <v>50</v>
      </c>
      <c r="H23" s="70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</row>
    <row r="24" spans="1:20" ht="25.5" customHeight="1" x14ac:dyDescent="0.25">
      <c r="A24" s="69">
        <v>45082</v>
      </c>
      <c r="B24" s="64"/>
      <c r="C24" s="64"/>
      <c r="D24" s="64"/>
      <c r="E24" s="64" t="s">
        <v>127</v>
      </c>
      <c r="F24" s="64">
        <f t="shared" si="0"/>
        <v>200</v>
      </c>
      <c r="G24" s="64">
        <v>200</v>
      </c>
      <c r="H24" s="70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4"/>
    </row>
    <row r="25" spans="1:20" ht="25.5" customHeight="1" x14ac:dyDescent="0.25">
      <c r="A25" s="69">
        <v>45082</v>
      </c>
      <c r="B25" s="64"/>
      <c r="C25" s="64"/>
      <c r="D25" s="64"/>
      <c r="E25" s="64" t="s">
        <v>137</v>
      </c>
      <c r="F25" s="64">
        <f t="shared" si="0"/>
        <v>50</v>
      </c>
      <c r="G25" s="64">
        <v>50</v>
      </c>
      <c r="H25" s="70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</row>
    <row r="26" spans="1:20" ht="25.5" customHeight="1" x14ac:dyDescent="0.25">
      <c r="A26" s="69">
        <v>45082</v>
      </c>
      <c r="B26" s="64"/>
      <c r="C26" s="64"/>
      <c r="D26" s="64"/>
      <c r="E26" s="64" t="s">
        <v>85</v>
      </c>
      <c r="F26" s="64">
        <f t="shared" si="0"/>
        <v>100</v>
      </c>
      <c r="G26" s="64">
        <v>100</v>
      </c>
      <c r="H26" s="70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</row>
    <row r="27" spans="1:20" ht="25.5" customHeight="1" x14ac:dyDescent="0.25">
      <c r="A27" s="69">
        <v>45082</v>
      </c>
      <c r="B27" s="64"/>
      <c r="C27" s="64"/>
      <c r="D27" s="64"/>
      <c r="E27" s="64" t="s">
        <v>88</v>
      </c>
      <c r="F27" s="64">
        <f t="shared" si="0"/>
        <v>150</v>
      </c>
      <c r="G27" s="64">
        <v>150</v>
      </c>
      <c r="H27" s="70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</row>
    <row r="28" spans="1:20" ht="25.5" customHeight="1" x14ac:dyDescent="0.25">
      <c r="A28" s="69">
        <v>45082</v>
      </c>
      <c r="B28" s="64"/>
      <c r="C28" s="64"/>
      <c r="D28" s="64"/>
      <c r="E28" s="64" t="s">
        <v>86</v>
      </c>
      <c r="F28" s="64">
        <f t="shared" si="0"/>
        <v>150</v>
      </c>
      <c r="G28" s="64">
        <v>150</v>
      </c>
      <c r="H28" s="70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</row>
    <row r="29" spans="1:20" ht="25.5" customHeight="1" x14ac:dyDescent="0.25">
      <c r="A29" s="69">
        <v>45082</v>
      </c>
      <c r="B29" s="64"/>
      <c r="C29" s="64"/>
      <c r="D29" s="64"/>
      <c r="E29" s="64"/>
      <c r="F29" s="64">
        <f t="shared" si="0"/>
        <v>0</v>
      </c>
      <c r="G29" s="64"/>
      <c r="H29" s="70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</row>
    <row r="30" spans="1:20" ht="25.5" customHeight="1" x14ac:dyDescent="0.25">
      <c r="A30" s="69">
        <v>45082</v>
      </c>
      <c r="B30" s="64"/>
      <c r="C30" s="64"/>
      <c r="D30" s="64"/>
      <c r="E30" s="64"/>
      <c r="F30" s="64">
        <f t="shared" si="0"/>
        <v>0</v>
      </c>
      <c r="G30" s="64"/>
      <c r="H30" s="70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</row>
    <row r="31" spans="1:20" ht="25.5" customHeight="1" x14ac:dyDescent="0.25">
      <c r="A31" s="69">
        <v>45082</v>
      </c>
      <c r="B31" s="64"/>
      <c r="C31" s="64"/>
      <c r="D31" s="64"/>
      <c r="E31" s="64"/>
      <c r="F31" s="64">
        <f t="shared" si="0"/>
        <v>0</v>
      </c>
      <c r="G31" s="64"/>
      <c r="H31" s="70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</row>
    <row r="32" spans="1:20" ht="25.5" customHeight="1" x14ac:dyDescent="0.25">
      <c r="A32" s="69">
        <v>45082</v>
      </c>
      <c r="B32" s="64"/>
      <c r="C32" s="64"/>
      <c r="D32" s="64"/>
      <c r="E32" s="64"/>
      <c r="F32" s="64">
        <f t="shared" si="0"/>
        <v>0</v>
      </c>
      <c r="G32" s="64"/>
      <c r="H32" s="70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</row>
    <row r="33" spans="1:20" ht="25.5" customHeight="1" x14ac:dyDescent="0.25">
      <c r="A33" s="69">
        <v>45082</v>
      </c>
      <c r="B33" s="64"/>
      <c r="C33" s="64"/>
      <c r="D33" s="64"/>
      <c r="E33" s="64"/>
      <c r="F33" s="64">
        <f t="shared" si="0"/>
        <v>0</v>
      </c>
      <c r="G33" s="64"/>
      <c r="H33" s="70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</row>
    <row r="34" spans="1:20" ht="25.5" customHeight="1" x14ac:dyDescent="0.25">
      <c r="A34" s="69">
        <v>45082</v>
      </c>
      <c r="B34" s="64"/>
      <c r="C34" s="64"/>
      <c r="D34" s="64"/>
      <c r="E34" s="64"/>
      <c r="F34" s="64">
        <f t="shared" si="0"/>
        <v>0</v>
      </c>
      <c r="G34" s="64"/>
      <c r="H34" s="70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</row>
    <row r="35" spans="1:20" ht="25.5" customHeight="1" x14ac:dyDescent="0.25">
      <c r="A35" s="69">
        <v>45082</v>
      </c>
      <c r="B35" s="64"/>
      <c r="C35" s="64"/>
      <c r="D35" s="64"/>
      <c r="E35" s="64"/>
      <c r="F35" s="64">
        <f t="shared" si="0"/>
        <v>0</v>
      </c>
      <c r="G35" s="64"/>
      <c r="H35" s="70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</row>
    <row r="36" spans="1:20" ht="25.5" customHeight="1" x14ac:dyDescent="0.25">
      <c r="A36" s="69">
        <v>45082</v>
      </c>
      <c r="B36" s="64"/>
      <c r="C36" s="64"/>
      <c r="D36" s="64"/>
      <c r="E36" s="64"/>
      <c r="F36" s="64">
        <f t="shared" si="0"/>
        <v>0</v>
      </c>
      <c r="G36" s="64"/>
      <c r="H36" s="70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</row>
    <row r="37" spans="1:20" ht="25.5" customHeight="1" x14ac:dyDescent="0.25">
      <c r="A37" s="69">
        <v>45082</v>
      </c>
      <c r="B37" s="64"/>
      <c r="C37" s="64"/>
      <c r="D37" s="64"/>
      <c r="E37" s="64"/>
      <c r="F37" s="64">
        <f t="shared" si="0"/>
        <v>0</v>
      </c>
      <c r="G37" s="64"/>
      <c r="H37" s="70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</row>
    <row r="38" spans="1:20" ht="25.5" customHeight="1" x14ac:dyDescent="0.25">
      <c r="A38" s="69">
        <v>45082</v>
      </c>
      <c r="B38" s="64"/>
      <c r="C38" s="64"/>
      <c r="D38" s="64"/>
      <c r="E38" s="64"/>
      <c r="F38" s="64">
        <f t="shared" si="0"/>
        <v>0</v>
      </c>
      <c r="G38" s="64"/>
      <c r="H38" s="70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</row>
    <row r="39" spans="1:20" ht="41.25" customHeight="1" x14ac:dyDescent="0.25">
      <c r="A39" s="162" t="s">
        <v>6</v>
      </c>
      <c r="B39" s="162"/>
      <c r="C39" s="162"/>
      <c r="D39" s="64">
        <f>SUM(D4:D38)</f>
        <v>9348</v>
      </c>
      <c r="E39" s="71"/>
      <c r="F39" s="64">
        <f>SUM(F4:F38)</f>
        <v>2683.75</v>
      </c>
      <c r="G39" s="64">
        <f t="shared" ref="G39:T39" si="1">SUM(G4:G38)</f>
        <v>1680</v>
      </c>
      <c r="H39" s="70">
        <f t="shared" si="1"/>
        <v>80</v>
      </c>
      <c r="I39" s="64">
        <f t="shared" si="1"/>
        <v>0</v>
      </c>
      <c r="J39" s="64">
        <f t="shared" si="1"/>
        <v>0</v>
      </c>
      <c r="K39" s="64">
        <f t="shared" si="1"/>
        <v>0</v>
      </c>
      <c r="L39" s="64">
        <f t="shared" si="1"/>
        <v>135</v>
      </c>
      <c r="M39" s="64">
        <f t="shared" si="1"/>
        <v>0</v>
      </c>
      <c r="N39" s="64">
        <f t="shared" si="1"/>
        <v>128.75</v>
      </c>
      <c r="O39" s="64">
        <f t="shared" si="1"/>
        <v>0</v>
      </c>
      <c r="P39" s="64">
        <f t="shared" si="1"/>
        <v>5</v>
      </c>
      <c r="Q39" s="64">
        <f t="shared" si="1"/>
        <v>0</v>
      </c>
      <c r="R39" s="64">
        <f t="shared" si="1"/>
        <v>100</v>
      </c>
      <c r="S39" s="64">
        <f t="shared" si="1"/>
        <v>0</v>
      </c>
      <c r="T39" s="64">
        <f t="shared" si="1"/>
        <v>555</v>
      </c>
    </row>
    <row r="40" spans="1:20" ht="15.75" thickBot="1" x14ac:dyDescent="0.3"/>
    <row r="41" spans="1:20" ht="30.75" customHeight="1" thickTop="1" thickBot="1" x14ac:dyDescent="0.3">
      <c r="E41" s="2" t="s">
        <v>26</v>
      </c>
      <c r="F41" s="3" t="s">
        <v>27</v>
      </c>
      <c r="G41" s="4" t="s">
        <v>28</v>
      </c>
    </row>
    <row r="42" spans="1:20" ht="48.75" customHeight="1" thickTop="1" x14ac:dyDescent="0.25">
      <c r="A42" s="2" t="s">
        <v>19</v>
      </c>
      <c r="B42" s="6">
        <f>+D39</f>
        <v>9348</v>
      </c>
      <c r="C42" s="7"/>
      <c r="E42" s="5">
        <v>200</v>
      </c>
      <c r="F42" s="6">
        <v>4</v>
      </c>
      <c r="G42" s="7">
        <f>+E42*F42</f>
        <v>800</v>
      </c>
    </row>
    <row r="43" spans="1:20" ht="46.5" customHeight="1" x14ac:dyDescent="0.25">
      <c r="A43" s="9" t="s">
        <v>20</v>
      </c>
      <c r="B43" s="6">
        <f>D8</f>
        <v>4653</v>
      </c>
      <c r="C43" s="7"/>
      <c r="E43" s="5">
        <v>100</v>
      </c>
      <c r="F43" s="6">
        <v>11</v>
      </c>
      <c r="G43" s="7">
        <f t="shared" ref="G43:G45" si="2">+E43*F43</f>
        <v>1100</v>
      </c>
    </row>
    <row r="44" spans="1:20" ht="46.5" customHeight="1" x14ac:dyDescent="0.25">
      <c r="A44" s="9" t="s">
        <v>21</v>
      </c>
      <c r="B44" s="6">
        <f>F39</f>
        <v>2683.75</v>
      </c>
      <c r="C44" s="7"/>
      <c r="E44" s="5">
        <v>50</v>
      </c>
      <c r="F44" s="6">
        <v>1</v>
      </c>
      <c r="G44" s="7">
        <f t="shared" si="2"/>
        <v>50</v>
      </c>
    </row>
    <row r="45" spans="1:20" ht="51.75" customHeight="1" x14ac:dyDescent="0.25">
      <c r="A45" s="9" t="s">
        <v>22</v>
      </c>
      <c r="B45" s="11">
        <f>+B42-B43-B44</f>
        <v>2011.25</v>
      </c>
      <c r="C45" s="12"/>
      <c r="E45" s="5">
        <v>20</v>
      </c>
      <c r="F45" s="6"/>
      <c r="G45" s="7">
        <f t="shared" si="2"/>
        <v>0</v>
      </c>
    </row>
    <row r="46" spans="1:20" ht="46.5" customHeight="1" x14ac:dyDescent="0.25">
      <c r="A46" s="9" t="s">
        <v>23</v>
      </c>
      <c r="B46" s="11">
        <f>G49</f>
        <v>1987</v>
      </c>
      <c r="C46" s="12"/>
      <c r="D46" s="1"/>
      <c r="E46" s="5">
        <v>10</v>
      </c>
      <c r="F46" s="6">
        <v>3</v>
      </c>
      <c r="G46" s="7">
        <f>+E46*F46</f>
        <v>30</v>
      </c>
    </row>
    <row r="47" spans="1:20" ht="34.5" customHeight="1" x14ac:dyDescent="0.25">
      <c r="A47" s="9" t="s">
        <v>24</v>
      </c>
      <c r="B47" s="11">
        <f>IF(B45&lt;B46,B46-B45,0)</f>
        <v>0</v>
      </c>
      <c r="C47" s="12"/>
      <c r="E47" s="5">
        <v>5</v>
      </c>
      <c r="F47" s="6">
        <v>1</v>
      </c>
      <c r="G47" s="7">
        <f>+E47*F47</f>
        <v>5</v>
      </c>
    </row>
    <row r="48" spans="1:20" ht="36.75" customHeight="1" x14ac:dyDescent="0.25">
      <c r="A48" s="9" t="s">
        <v>7</v>
      </c>
      <c r="B48" s="11">
        <f>IF(B45&gt;B46,B45-B46,0)</f>
        <v>24.25</v>
      </c>
      <c r="C48" s="12"/>
      <c r="E48" s="5">
        <v>1</v>
      </c>
      <c r="F48" s="6">
        <v>2</v>
      </c>
      <c r="G48" s="7">
        <f>+E48*F48</f>
        <v>2</v>
      </c>
    </row>
    <row r="49" spans="1:7" ht="30" customHeight="1" thickBot="1" x14ac:dyDescent="0.35">
      <c r="A49" s="10" t="s">
        <v>29</v>
      </c>
      <c r="B49" s="13" t="b">
        <f>B45=B46</f>
        <v>0</v>
      </c>
      <c r="C49" s="14"/>
      <c r="E49" s="159" t="s">
        <v>25</v>
      </c>
      <c r="F49" s="160"/>
      <c r="G49" s="8">
        <f>SUM(G42:G48)</f>
        <v>1987</v>
      </c>
    </row>
    <row r="50" spans="1:7" ht="15.75" thickTop="1" x14ac:dyDescent="0.25">
      <c r="A50" s="163" t="s">
        <v>138</v>
      </c>
      <c r="B50" s="163"/>
      <c r="C50" s="163"/>
    </row>
    <row r="51" spans="1:7" x14ac:dyDescent="0.25">
      <c r="A51" s="164"/>
      <c r="B51" s="164"/>
      <c r="C51" s="164"/>
    </row>
    <row r="52" spans="1:7" x14ac:dyDescent="0.25">
      <c r="A52" s="164"/>
      <c r="B52" s="164"/>
      <c r="C52" s="164"/>
    </row>
  </sheetData>
  <mergeCells count="4">
    <mergeCell ref="E49:F49"/>
    <mergeCell ref="E2:L2"/>
    <mergeCell ref="A39:C39"/>
    <mergeCell ref="A50:C5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6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0"/>
  <sheetViews>
    <sheetView rightToLeft="1" topLeftCell="A41" zoomScale="80" zoomScaleNormal="80" workbookViewId="0">
      <selection activeCell="A18" sqref="A18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30.7109375" bestFit="1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3" width="13.5703125" customWidth="1"/>
    <col min="14" max="14" width="12.7109375" bestFit="1" customWidth="1"/>
    <col min="15" max="15" width="16" bestFit="1" customWidth="1"/>
    <col min="16" max="16" width="15.85546875" bestFit="1" customWidth="1"/>
    <col min="18" max="18" width="15.85546875" bestFit="1" customWidth="1"/>
    <col min="19" max="19" width="14" customWidth="1"/>
    <col min="20" max="20" width="10.140625" customWidth="1"/>
  </cols>
  <sheetData>
    <row r="1" spans="1:20" ht="15.75" hidden="1" thickBot="1" x14ac:dyDescent="0.3"/>
    <row r="2" spans="1:20" ht="25.5" customHeight="1" thickBot="1" x14ac:dyDescent="0.3">
      <c r="A2" s="50" t="s">
        <v>0</v>
      </c>
      <c r="B2" s="51"/>
      <c r="C2" s="51"/>
      <c r="D2" s="52"/>
      <c r="E2" s="157">
        <f ca="1">TODAY()</f>
        <v>45118</v>
      </c>
      <c r="F2" s="158"/>
      <c r="G2" s="158"/>
      <c r="H2" s="158"/>
      <c r="I2" s="158"/>
      <c r="J2" s="158"/>
      <c r="K2" s="158"/>
      <c r="L2" s="158"/>
      <c r="M2" s="53"/>
      <c r="N2" s="53"/>
      <c r="O2" s="53"/>
      <c r="P2" s="53"/>
      <c r="Q2" s="53"/>
      <c r="R2" s="53"/>
      <c r="S2" s="53"/>
      <c r="T2" s="53"/>
    </row>
    <row r="3" spans="1:20" ht="36.75" customHeight="1" x14ac:dyDescent="0.25">
      <c r="A3" s="54" t="s">
        <v>4</v>
      </c>
      <c r="B3" s="54" t="s">
        <v>3</v>
      </c>
      <c r="C3" s="54" t="s">
        <v>1</v>
      </c>
      <c r="D3" s="54" t="s">
        <v>2</v>
      </c>
      <c r="E3" s="54" t="s">
        <v>1</v>
      </c>
      <c r="F3" s="54" t="s">
        <v>13</v>
      </c>
      <c r="G3" s="54" t="s">
        <v>5</v>
      </c>
      <c r="H3" s="57" t="s">
        <v>8</v>
      </c>
      <c r="I3" s="18" t="s">
        <v>9</v>
      </c>
      <c r="J3" s="18" t="s">
        <v>10</v>
      </c>
      <c r="K3" s="18" t="s">
        <v>11</v>
      </c>
      <c r="L3" s="18" t="s">
        <v>12</v>
      </c>
      <c r="M3" s="18" t="s">
        <v>31</v>
      </c>
      <c r="N3" s="18" t="s">
        <v>45</v>
      </c>
      <c r="O3" s="18" t="s">
        <v>32</v>
      </c>
      <c r="P3" s="18" t="s">
        <v>34</v>
      </c>
      <c r="Q3" s="18" t="s">
        <v>35</v>
      </c>
      <c r="R3" s="18" t="s">
        <v>39</v>
      </c>
      <c r="S3" s="18" t="s">
        <v>38</v>
      </c>
      <c r="T3" s="19" t="s">
        <v>40</v>
      </c>
    </row>
    <row r="4" spans="1:20" ht="25.5" customHeight="1" x14ac:dyDescent="0.25">
      <c r="A4" s="59">
        <v>45083</v>
      </c>
      <c r="B4" s="15"/>
      <c r="C4" s="15" t="s">
        <v>14</v>
      </c>
      <c r="D4" s="15">
        <f>519+469</f>
        <v>988</v>
      </c>
      <c r="E4" s="15" t="s">
        <v>114</v>
      </c>
      <c r="F4" s="15">
        <f>SUM(G4:T4)</f>
        <v>5</v>
      </c>
      <c r="G4" s="15"/>
      <c r="H4" s="56"/>
      <c r="I4" s="15"/>
      <c r="J4" s="15"/>
      <c r="K4" s="15"/>
      <c r="L4" s="15"/>
      <c r="M4" s="15"/>
      <c r="N4" s="15"/>
      <c r="O4" s="15"/>
      <c r="P4" s="15">
        <v>5</v>
      </c>
      <c r="Q4" s="15"/>
      <c r="R4" s="15"/>
      <c r="S4" s="15"/>
      <c r="T4" s="15"/>
    </row>
    <row r="5" spans="1:20" ht="25.5" customHeight="1" x14ac:dyDescent="0.25">
      <c r="A5" s="59">
        <v>45083</v>
      </c>
      <c r="B5" s="15"/>
      <c r="C5" s="15" t="s">
        <v>15</v>
      </c>
      <c r="D5" s="15">
        <f>1232+1024</f>
        <v>2256</v>
      </c>
      <c r="E5" s="15" t="s">
        <v>122</v>
      </c>
      <c r="F5" s="15">
        <f t="shared" ref="F5:F38" si="0">SUM(G5:T5)</f>
        <v>50</v>
      </c>
      <c r="G5" s="15"/>
      <c r="H5" s="56">
        <v>50</v>
      </c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</row>
    <row r="6" spans="1:20" ht="25.5" customHeight="1" x14ac:dyDescent="0.25">
      <c r="A6" s="59">
        <v>45083</v>
      </c>
      <c r="B6" s="15"/>
      <c r="C6" s="15" t="s">
        <v>16</v>
      </c>
      <c r="D6" s="15">
        <v>0</v>
      </c>
      <c r="E6" s="15" t="s">
        <v>66</v>
      </c>
      <c r="F6" s="15">
        <f t="shared" si="0"/>
        <v>150</v>
      </c>
      <c r="G6" s="15"/>
      <c r="H6" s="56"/>
      <c r="I6" s="15"/>
      <c r="J6" s="15"/>
      <c r="K6" s="15"/>
      <c r="L6" s="15"/>
      <c r="M6" s="15"/>
      <c r="N6" s="15"/>
      <c r="O6" s="15"/>
      <c r="P6" s="15"/>
      <c r="Q6" s="15"/>
      <c r="R6" s="15">
        <v>150</v>
      </c>
      <c r="S6" s="15"/>
      <c r="T6" s="15"/>
    </row>
    <row r="7" spans="1:20" ht="25.5" customHeight="1" x14ac:dyDescent="0.25">
      <c r="A7" s="59">
        <v>45083</v>
      </c>
      <c r="B7" s="15"/>
      <c r="C7" s="15" t="s">
        <v>17</v>
      </c>
      <c r="D7" s="15">
        <f>180+215</f>
        <v>395</v>
      </c>
      <c r="E7" s="15" t="s">
        <v>68</v>
      </c>
      <c r="F7" s="15">
        <f t="shared" si="0"/>
        <v>180</v>
      </c>
      <c r="G7" s="15"/>
      <c r="H7" s="56"/>
      <c r="I7" s="15"/>
      <c r="J7" s="15"/>
      <c r="K7" s="15"/>
      <c r="L7" s="15">
        <f>90+45+45</f>
        <v>180</v>
      </c>
      <c r="M7" s="15"/>
      <c r="N7" s="15"/>
      <c r="O7" s="15"/>
      <c r="P7" s="15"/>
      <c r="Q7" s="15"/>
      <c r="R7" s="15"/>
      <c r="S7" s="15"/>
      <c r="T7" s="15"/>
    </row>
    <row r="8" spans="1:20" ht="25.5" customHeight="1" x14ac:dyDescent="0.25">
      <c r="A8" s="59">
        <v>45083</v>
      </c>
      <c r="B8" s="15"/>
      <c r="C8" s="15" t="s">
        <v>18</v>
      </c>
      <c r="D8" s="15">
        <f>80+2000+20+25+25+25+25+70+55+40+110+52+90</f>
        <v>2617</v>
      </c>
      <c r="E8" s="15" t="s">
        <v>139</v>
      </c>
      <c r="F8" s="15">
        <f t="shared" si="0"/>
        <v>15</v>
      </c>
      <c r="G8" s="15"/>
      <c r="H8" s="56"/>
      <c r="I8" s="15"/>
      <c r="J8" s="15"/>
      <c r="K8" s="15"/>
      <c r="L8" s="15"/>
      <c r="M8" s="15"/>
      <c r="N8" s="15"/>
      <c r="O8" s="15"/>
      <c r="P8" s="15">
        <f>5+10</f>
        <v>15</v>
      </c>
      <c r="Q8" s="15"/>
      <c r="R8" s="15"/>
      <c r="S8" s="15"/>
      <c r="T8" s="15"/>
    </row>
    <row r="9" spans="1:20" ht="25.5" customHeight="1" x14ac:dyDescent="0.25">
      <c r="A9" s="59">
        <v>45083</v>
      </c>
      <c r="B9" s="15"/>
      <c r="C9" s="15" t="s">
        <v>30</v>
      </c>
      <c r="D9" s="15">
        <v>0</v>
      </c>
      <c r="E9" s="15" t="s">
        <v>140</v>
      </c>
      <c r="F9" s="15">
        <f t="shared" si="0"/>
        <v>50</v>
      </c>
      <c r="G9" s="15"/>
      <c r="H9" s="56"/>
      <c r="I9" s="15"/>
      <c r="J9" s="15"/>
      <c r="K9" s="15"/>
      <c r="L9" s="15"/>
      <c r="M9" s="15"/>
      <c r="N9" s="15">
        <v>50</v>
      </c>
      <c r="O9" s="15"/>
      <c r="P9" s="15"/>
      <c r="Q9" s="15"/>
      <c r="R9" s="15"/>
      <c r="S9" s="15"/>
      <c r="T9" s="15"/>
    </row>
    <row r="10" spans="1:20" ht="25.5" customHeight="1" x14ac:dyDescent="0.25">
      <c r="A10" s="59">
        <v>45083</v>
      </c>
      <c r="B10" s="15"/>
      <c r="C10" s="15" t="s">
        <v>46</v>
      </c>
      <c r="D10" s="15">
        <v>0</v>
      </c>
      <c r="E10" s="15" t="s">
        <v>141</v>
      </c>
      <c r="F10" s="15">
        <f t="shared" si="0"/>
        <v>60</v>
      </c>
      <c r="G10" s="15"/>
      <c r="H10" s="56"/>
      <c r="I10" s="15"/>
      <c r="J10" s="15"/>
      <c r="K10" s="15"/>
      <c r="L10" s="15"/>
      <c r="M10" s="15"/>
      <c r="N10" s="15">
        <v>60</v>
      </c>
      <c r="O10" s="15"/>
      <c r="P10" s="15"/>
      <c r="Q10" s="15"/>
      <c r="R10" s="15"/>
      <c r="S10" s="15"/>
      <c r="T10" s="15"/>
    </row>
    <row r="11" spans="1:20" ht="25.5" customHeight="1" x14ac:dyDescent="0.25">
      <c r="A11" s="59">
        <v>45083</v>
      </c>
      <c r="B11" s="15"/>
      <c r="C11" s="15"/>
      <c r="D11" s="15"/>
      <c r="E11" s="15" t="s">
        <v>132</v>
      </c>
      <c r="F11" s="15">
        <f t="shared" si="0"/>
        <v>5</v>
      </c>
      <c r="G11" s="15"/>
      <c r="H11" s="56"/>
      <c r="I11" s="15"/>
      <c r="J11" s="15"/>
      <c r="K11" s="15"/>
      <c r="L11" s="15"/>
      <c r="M11" s="15"/>
      <c r="N11" s="15">
        <v>5</v>
      </c>
      <c r="O11" s="15"/>
      <c r="P11" s="15"/>
      <c r="Q11" s="15"/>
      <c r="R11" s="15"/>
      <c r="S11" s="15"/>
      <c r="T11" s="15"/>
    </row>
    <row r="12" spans="1:20" ht="25.5" customHeight="1" x14ac:dyDescent="0.25">
      <c r="A12" s="59">
        <v>45083</v>
      </c>
      <c r="B12" s="15"/>
      <c r="C12" s="15"/>
      <c r="D12" s="15"/>
      <c r="E12" s="15" t="s">
        <v>142</v>
      </c>
      <c r="F12" s="15">
        <f t="shared" si="0"/>
        <v>45</v>
      </c>
      <c r="G12" s="15"/>
      <c r="H12" s="56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>
        <v>45</v>
      </c>
      <c r="T12" s="15"/>
    </row>
    <row r="13" spans="1:20" ht="25.5" customHeight="1" x14ac:dyDescent="0.25">
      <c r="A13" s="59">
        <v>45083</v>
      </c>
      <c r="B13" s="15"/>
      <c r="C13" s="15"/>
      <c r="D13" s="15"/>
      <c r="E13" s="15" t="s">
        <v>143</v>
      </c>
      <c r="F13" s="15">
        <f t="shared" si="0"/>
        <v>555</v>
      </c>
      <c r="G13" s="15"/>
      <c r="H13" s="56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>
        <v>555</v>
      </c>
    </row>
    <row r="14" spans="1:20" ht="25.5" customHeight="1" x14ac:dyDescent="0.25">
      <c r="A14" s="59">
        <v>45083</v>
      </c>
      <c r="B14" s="15"/>
      <c r="C14" s="15"/>
      <c r="D14" s="15"/>
      <c r="E14" s="15" t="s">
        <v>115</v>
      </c>
      <c r="F14" s="15">
        <f t="shared" si="0"/>
        <v>10</v>
      </c>
      <c r="G14" s="15"/>
      <c r="H14" s="56"/>
      <c r="I14" s="15"/>
      <c r="J14" s="15"/>
      <c r="K14" s="15"/>
      <c r="L14" s="15"/>
      <c r="M14" s="15">
        <v>10</v>
      </c>
      <c r="N14" s="15"/>
      <c r="O14" s="15"/>
      <c r="P14" s="15"/>
      <c r="Q14" s="15"/>
      <c r="R14" s="15"/>
      <c r="S14" s="15"/>
      <c r="T14" s="15"/>
    </row>
    <row r="15" spans="1:20" ht="25.5" customHeight="1" x14ac:dyDescent="0.25">
      <c r="A15" s="59">
        <v>45083</v>
      </c>
      <c r="B15" s="15"/>
      <c r="C15" s="15"/>
      <c r="D15" s="15"/>
      <c r="E15" s="15" t="s">
        <v>134</v>
      </c>
      <c r="F15" s="15">
        <f t="shared" si="0"/>
        <v>22</v>
      </c>
      <c r="G15" s="15"/>
      <c r="H15" s="56"/>
      <c r="I15" s="15"/>
      <c r="J15" s="15"/>
      <c r="K15" s="15"/>
      <c r="L15" s="15"/>
      <c r="M15" s="15"/>
      <c r="N15" s="15">
        <v>22</v>
      </c>
      <c r="O15" s="15"/>
      <c r="P15" s="15"/>
      <c r="Q15" s="15"/>
      <c r="R15" s="15"/>
      <c r="S15" s="15"/>
      <c r="T15" s="15"/>
    </row>
    <row r="16" spans="1:20" ht="25.5" customHeight="1" x14ac:dyDescent="0.25">
      <c r="A16" s="59">
        <v>45083</v>
      </c>
      <c r="B16" s="15"/>
      <c r="C16" s="15"/>
      <c r="D16" s="15"/>
      <c r="E16" s="15" t="s">
        <v>144</v>
      </c>
      <c r="F16" s="15">
        <f t="shared" si="0"/>
        <v>28</v>
      </c>
      <c r="G16" s="15"/>
      <c r="H16" s="56"/>
      <c r="I16" s="15"/>
      <c r="J16" s="15"/>
      <c r="K16" s="15"/>
      <c r="L16" s="15"/>
      <c r="M16" s="15"/>
      <c r="N16" s="15">
        <v>28</v>
      </c>
      <c r="O16" s="15"/>
      <c r="P16" s="15"/>
      <c r="Q16" s="15"/>
      <c r="R16" s="15"/>
      <c r="S16" s="15"/>
      <c r="T16" s="15"/>
    </row>
    <row r="17" spans="1:20" ht="25.5" customHeight="1" x14ac:dyDescent="0.25">
      <c r="A17" s="59">
        <v>45083</v>
      </c>
      <c r="B17" s="15"/>
      <c r="C17" s="15"/>
      <c r="D17" s="15"/>
      <c r="E17" s="15" t="s">
        <v>73</v>
      </c>
      <c r="F17" s="15">
        <f t="shared" si="0"/>
        <v>170</v>
      </c>
      <c r="G17" s="15">
        <v>170</v>
      </c>
      <c r="H17" s="56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</row>
    <row r="18" spans="1:20" ht="25.5" customHeight="1" x14ac:dyDescent="0.25">
      <c r="A18" s="59">
        <v>45083</v>
      </c>
      <c r="B18" s="15"/>
      <c r="C18" s="15"/>
      <c r="D18" s="15"/>
      <c r="E18" s="15" t="s">
        <v>74</v>
      </c>
      <c r="F18" s="15">
        <f t="shared" si="0"/>
        <v>150</v>
      </c>
      <c r="G18" s="15">
        <v>150</v>
      </c>
      <c r="H18" s="56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ht="25.5" customHeight="1" x14ac:dyDescent="0.25">
      <c r="A19" s="59">
        <v>45083</v>
      </c>
      <c r="B19" s="15"/>
      <c r="C19" s="15"/>
      <c r="D19" s="15"/>
      <c r="E19" s="15" t="s">
        <v>127</v>
      </c>
      <c r="F19" s="15">
        <f t="shared" si="0"/>
        <v>200</v>
      </c>
      <c r="G19" s="15">
        <v>200</v>
      </c>
      <c r="H19" s="56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ht="25.5" customHeight="1" x14ac:dyDescent="0.25">
      <c r="A20" s="59">
        <v>45083</v>
      </c>
      <c r="B20" s="15"/>
      <c r="C20" s="15"/>
      <c r="D20" s="15"/>
      <c r="E20" s="15" t="s">
        <v>80</v>
      </c>
      <c r="F20" s="15">
        <f t="shared" si="0"/>
        <v>50</v>
      </c>
      <c r="G20" s="15">
        <v>50</v>
      </c>
      <c r="H20" s="56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ht="25.5" customHeight="1" x14ac:dyDescent="0.25">
      <c r="A21" s="59">
        <v>45083</v>
      </c>
      <c r="B21" s="15"/>
      <c r="C21" s="15"/>
      <c r="D21" s="15"/>
      <c r="E21" s="15" t="s">
        <v>145</v>
      </c>
      <c r="F21" s="15">
        <f t="shared" si="0"/>
        <v>30</v>
      </c>
      <c r="G21" s="15">
        <v>30</v>
      </c>
      <c r="H21" s="56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25.5" customHeight="1" x14ac:dyDescent="0.25">
      <c r="A22" s="59">
        <v>45083</v>
      </c>
      <c r="B22" s="15"/>
      <c r="C22" s="15"/>
      <c r="D22" s="15"/>
      <c r="E22" s="15" t="s">
        <v>87</v>
      </c>
      <c r="F22" s="15">
        <f t="shared" si="0"/>
        <v>50</v>
      </c>
      <c r="G22" s="15">
        <v>50</v>
      </c>
      <c r="H22" s="56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</row>
    <row r="23" spans="1:20" ht="25.5" customHeight="1" x14ac:dyDescent="0.25">
      <c r="A23" s="59">
        <v>45083</v>
      </c>
      <c r="B23" s="15"/>
      <c r="C23" s="15"/>
      <c r="D23" s="15"/>
      <c r="E23" s="15" t="s">
        <v>126</v>
      </c>
      <c r="F23" s="15">
        <f t="shared" si="0"/>
        <v>170</v>
      </c>
      <c r="G23" s="15">
        <v>170</v>
      </c>
      <c r="H23" s="56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</row>
    <row r="24" spans="1:20" ht="25.5" customHeight="1" x14ac:dyDescent="0.25">
      <c r="A24" s="59">
        <v>45083</v>
      </c>
      <c r="B24" s="15"/>
      <c r="C24" s="15"/>
      <c r="D24" s="15"/>
      <c r="E24" s="15" t="s">
        <v>101</v>
      </c>
      <c r="F24" s="15">
        <f t="shared" si="0"/>
        <v>30</v>
      </c>
      <c r="G24" s="15">
        <v>30</v>
      </c>
      <c r="H24" s="56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</row>
    <row r="25" spans="1:20" ht="25.5" customHeight="1" x14ac:dyDescent="0.25">
      <c r="A25" s="59">
        <v>45083</v>
      </c>
      <c r="B25" s="15"/>
      <c r="C25" s="15"/>
      <c r="D25" s="15"/>
      <c r="E25" s="15" t="s">
        <v>146</v>
      </c>
      <c r="F25" s="15">
        <f t="shared" si="0"/>
        <v>150</v>
      </c>
      <c r="G25" s="15">
        <v>150</v>
      </c>
      <c r="H25" s="56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</row>
    <row r="26" spans="1:20" ht="25.5" customHeight="1" x14ac:dyDescent="0.25">
      <c r="A26" s="59">
        <v>45083</v>
      </c>
      <c r="B26" s="15"/>
      <c r="C26" s="15"/>
      <c r="D26" s="15"/>
      <c r="E26" s="15" t="s">
        <v>79</v>
      </c>
      <c r="F26" s="15">
        <f t="shared" si="0"/>
        <v>50</v>
      </c>
      <c r="G26" s="15">
        <v>50</v>
      </c>
      <c r="H26" s="56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</row>
    <row r="27" spans="1:20" ht="25.5" customHeight="1" x14ac:dyDescent="0.25">
      <c r="A27" s="59">
        <v>45083</v>
      </c>
      <c r="B27" s="15"/>
      <c r="C27" s="15"/>
      <c r="D27" s="15"/>
      <c r="E27" s="15" t="s">
        <v>77</v>
      </c>
      <c r="F27" s="15">
        <f t="shared" si="0"/>
        <v>100</v>
      </c>
      <c r="G27" s="15">
        <v>100</v>
      </c>
      <c r="H27" s="56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</row>
    <row r="28" spans="1:20" ht="25.5" customHeight="1" x14ac:dyDescent="0.25">
      <c r="A28" s="59">
        <v>45083</v>
      </c>
      <c r="B28" s="15"/>
      <c r="C28" s="15"/>
      <c r="D28" s="15"/>
      <c r="E28" s="15" t="s">
        <v>117</v>
      </c>
      <c r="F28" s="15">
        <f t="shared" si="0"/>
        <v>150</v>
      </c>
      <c r="G28" s="15">
        <v>150</v>
      </c>
      <c r="H28" s="56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</row>
    <row r="29" spans="1:20" ht="25.5" customHeight="1" x14ac:dyDescent="0.25">
      <c r="A29" s="59">
        <v>45083</v>
      </c>
      <c r="B29" s="15"/>
      <c r="C29" s="15"/>
      <c r="D29" s="15"/>
      <c r="E29" s="15" t="s">
        <v>121</v>
      </c>
      <c r="F29" s="15">
        <f t="shared" si="0"/>
        <v>160</v>
      </c>
      <c r="G29" s="15">
        <v>160</v>
      </c>
      <c r="H29" s="56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</row>
    <row r="30" spans="1:20" ht="25.5" customHeight="1" x14ac:dyDescent="0.25">
      <c r="A30" s="59">
        <v>45083</v>
      </c>
      <c r="B30" s="15"/>
      <c r="C30" s="15"/>
      <c r="D30" s="15"/>
      <c r="E30" s="15"/>
      <c r="F30" s="15">
        <f t="shared" si="0"/>
        <v>0</v>
      </c>
      <c r="G30" s="15"/>
      <c r="H30" s="56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</row>
    <row r="31" spans="1:20" ht="25.5" customHeight="1" x14ac:dyDescent="0.25">
      <c r="A31" s="59">
        <v>45083</v>
      </c>
      <c r="B31" s="15"/>
      <c r="C31" s="15"/>
      <c r="D31" s="15"/>
      <c r="E31" s="15"/>
      <c r="F31" s="15">
        <f t="shared" si="0"/>
        <v>0</v>
      </c>
      <c r="G31" s="15"/>
      <c r="H31" s="56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</row>
    <row r="32" spans="1:20" ht="25.5" customHeight="1" x14ac:dyDescent="0.25">
      <c r="A32" s="59">
        <v>45083</v>
      </c>
      <c r="B32" s="15"/>
      <c r="C32" s="15"/>
      <c r="D32" s="15"/>
      <c r="E32" s="15"/>
      <c r="F32" s="15">
        <f t="shared" si="0"/>
        <v>0</v>
      </c>
      <c r="G32" s="15"/>
      <c r="H32" s="56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</row>
    <row r="33" spans="1:20" ht="25.5" customHeight="1" x14ac:dyDescent="0.25">
      <c r="A33" s="59">
        <v>45083</v>
      </c>
      <c r="B33" s="15"/>
      <c r="C33" s="15"/>
      <c r="D33" s="15"/>
      <c r="E33" s="15"/>
      <c r="F33" s="15">
        <f t="shared" si="0"/>
        <v>0</v>
      </c>
      <c r="G33" s="15"/>
      <c r="H33" s="56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</row>
    <row r="34" spans="1:20" ht="25.5" customHeight="1" x14ac:dyDescent="0.25">
      <c r="A34" s="59">
        <v>45083</v>
      </c>
      <c r="B34" s="15"/>
      <c r="C34" s="15"/>
      <c r="D34" s="15"/>
      <c r="E34" s="15"/>
      <c r="F34" s="15">
        <f t="shared" si="0"/>
        <v>0</v>
      </c>
      <c r="G34" s="15"/>
      <c r="H34" s="56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</row>
    <row r="35" spans="1:20" ht="25.5" customHeight="1" x14ac:dyDescent="0.25">
      <c r="A35" s="59">
        <v>45083</v>
      </c>
      <c r="B35" s="15"/>
      <c r="C35" s="15"/>
      <c r="D35" s="15"/>
      <c r="E35" s="15"/>
      <c r="F35" s="15">
        <f t="shared" si="0"/>
        <v>0</v>
      </c>
      <c r="G35" s="15"/>
      <c r="H35" s="56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</row>
    <row r="36" spans="1:20" ht="25.5" customHeight="1" x14ac:dyDescent="0.25">
      <c r="A36" s="59">
        <v>45083</v>
      </c>
      <c r="B36" s="15"/>
      <c r="C36" s="15"/>
      <c r="D36" s="15"/>
      <c r="E36" s="15"/>
      <c r="F36" s="15">
        <f t="shared" si="0"/>
        <v>0</v>
      </c>
      <c r="G36" s="15"/>
      <c r="H36" s="56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</row>
    <row r="37" spans="1:20" ht="25.5" customHeight="1" x14ac:dyDescent="0.25">
      <c r="A37" s="59">
        <v>45083</v>
      </c>
      <c r="B37" s="15"/>
      <c r="C37" s="15"/>
      <c r="D37" s="15"/>
      <c r="E37" s="15"/>
      <c r="F37" s="15">
        <f t="shared" si="0"/>
        <v>0</v>
      </c>
      <c r="G37" s="15"/>
      <c r="H37" s="56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</row>
    <row r="38" spans="1:20" ht="25.5" customHeight="1" x14ac:dyDescent="0.25">
      <c r="A38" s="59">
        <v>45083</v>
      </c>
      <c r="B38" s="15"/>
      <c r="C38" s="15"/>
      <c r="D38" s="15"/>
      <c r="E38" s="15"/>
      <c r="F38" s="15">
        <f t="shared" si="0"/>
        <v>0</v>
      </c>
      <c r="G38" s="15"/>
      <c r="H38" s="56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</row>
    <row r="39" spans="1:20" ht="41.25" customHeight="1" x14ac:dyDescent="0.25">
      <c r="A39" s="161" t="s">
        <v>6</v>
      </c>
      <c r="B39" s="161"/>
      <c r="C39" s="161"/>
      <c r="D39" s="15">
        <f>SUM(D4:D38)</f>
        <v>6256</v>
      </c>
      <c r="E39" s="55"/>
      <c r="F39" s="15">
        <f>SUM(F4:F38)</f>
        <v>2635</v>
      </c>
      <c r="G39" s="15">
        <f t="shared" ref="G39:T39" si="1">SUM(G4:G38)</f>
        <v>1460</v>
      </c>
      <c r="H39" s="56">
        <f t="shared" si="1"/>
        <v>50</v>
      </c>
      <c r="I39" s="15">
        <f t="shared" si="1"/>
        <v>0</v>
      </c>
      <c r="J39" s="15">
        <f t="shared" si="1"/>
        <v>0</v>
      </c>
      <c r="K39" s="15">
        <f t="shared" si="1"/>
        <v>0</v>
      </c>
      <c r="L39" s="15">
        <f t="shared" si="1"/>
        <v>180</v>
      </c>
      <c r="M39" s="15">
        <f t="shared" si="1"/>
        <v>10</v>
      </c>
      <c r="N39" s="15">
        <f t="shared" si="1"/>
        <v>165</v>
      </c>
      <c r="O39" s="15">
        <f t="shared" si="1"/>
        <v>0</v>
      </c>
      <c r="P39" s="15">
        <f t="shared" si="1"/>
        <v>20</v>
      </c>
      <c r="Q39" s="15">
        <f t="shared" si="1"/>
        <v>0</v>
      </c>
      <c r="R39" s="15">
        <f t="shared" si="1"/>
        <v>150</v>
      </c>
      <c r="S39" s="15">
        <f t="shared" si="1"/>
        <v>45</v>
      </c>
      <c r="T39" s="15">
        <f t="shared" si="1"/>
        <v>555</v>
      </c>
    </row>
    <row r="40" spans="1:20" ht="15.75" thickBot="1" x14ac:dyDescent="0.3"/>
    <row r="41" spans="1:20" ht="30.75" customHeight="1" thickTop="1" thickBot="1" x14ac:dyDescent="0.3">
      <c r="E41" s="2" t="s">
        <v>26</v>
      </c>
      <c r="F41" s="3" t="s">
        <v>27</v>
      </c>
      <c r="G41" s="4" t="s">
        <v>28</v>
      </c>
    </row>
    <row r="42" spans="1:20" ht="48.75" customHeight="1" thickTop="1" x14ac:dyDescent="0.25">
      <c r="A42" s="2" t="s">
        <v>19</v>
      </c>
      <c r="B42" s="6">
        <f>+D39</f>
        <v>6256</v>
      </c>
      <c r="C42" s="7"/>
      <c r="E42" s="5">
        <v>200</v>
      </c>
      <c r="F42" s="6">
        <v>1</v>
      </c>
      <c r="G42" s="7">
        <f>+E42*F42</f>
        <v>200</v>
      </c>
    </row>
    <row r="43" spans="1:20" ht="46.5" customHeight="1" x14ac:dyDescent="0.25">
      <c r="A43" s="9" t="s">
        <v>20</v>
      </c>
      <c r="B43" s="6">
        <f>D8</f>
        <v>2617</v>
      </c>
      <c r="C43" s="7"/>
      <c r="E43" s="5">
        <v>100</v>
      </c>
      <c r="F43" s="6">
        <v>4</v>
      </c>
      <c r="G43" s="7">
        <f t="shared" ref="G43:G45" si="2">+E43*F43</f>
        <v>400</v>
      </c>
    </row>
    <row r="44" spans="1:20" ht="46.5" customHeight="1" x14ac:dyDescent="0.25">
      <c r="A44" s="9" t="s">
        <v>21</v>
      </c>
      <c r="B44" s="6">
        <f>F39</f>
        <v>2635</v>
      </c>
      <c r="C44" s="7"/>
      <c r="E44" s="5">
        <v>50</v>
      </c>
      <c r="F44" s="6">
        <v>7</v>
      </c>
      <c r="G44" s="7">
        <f t="shared" si="2"/>
        <v>350</v>
      </c>
    </row>
    <row r="45" spans="1:20" ht="51.75" customHeight="1" x14ac:dyDescent="0.25">
      <c r="A45" s="9" t="s">
        <v>22</v>
      </c>
      <c r="B45" s="11">
        <f>+B42-B43-B44</f>
        <v>1004</v>
      </c>
      <c r="C45" s="12"/>
      <c r="E45" s="5">
        <v>20</v>
      </c>
      <c r="F45" s="6"/>
      <c r="G45" s="7">
        <f t="shared" si="2"/>
        <v>0</v>
      </c>
    </row>
    <row r="46" spans="1:20" ht="46.5" customHeight="1" x14ac:dyDescent="0.25">
      <c r="A46" s="9" t="s">
        <v>23</v>
      </c>
      <c r="B46" s="11">
        <f>G49</f>
        <v>974</v>
      </c>
      <c r="C46" s="12"/>
      <c r="D46" s="1"/>
      <c r="E46" s="5">
        <v>10</v>
      </c>
      <c r="F46" s="6"/>
      <c r="G46" s="7">
        <f>+E46*F46</f>
        <v>0</v>
      </c>
    </row>
    <row r="47" spans="1:20" ht="34.5" customHeight="1" x14ac:dyDescent="0.25">
      <c r="A47" s="9" t="s">
        <v>24</v>
      </c>
      <c r="B47" s="11">
        <f>IF(B45&lt;B46,B46-B45,0)</f>
        <v>0</v>
      </c>
      <c r="C47" s="12"/>
      <c r="E47" s="5">
        <v>5</v>
      </c>
      <c r="F47" s="6">
        <v>4</v>
      </c>
      <c r="G47" s="7">
        <f>+E47*F47</f>
        <v>20</v>
      </c>
    </row>
    <row r="48" spans="1:20" ht="36.75" customHeight="1" x14ac:dyDescent="0.25">
      <c r="A48" s="9" t="s">
        <v>7</v>
      </c>
      <c r="B48" s="11">
        <f>IF(B45&gt;B46,B45-B46,0)</f>
        <v>30</v>
      </c>
      <c r="C48" s="12"/>
      <c r="E48" s="5">
        <v>1</v>
      </c>
      <c r="F48" s="6">
        <v>4</v>
      </c>
      <c r="G48" s="7">
        <f>+E48*F48</f>
        <v>4</v>
      </c>
    </row>
    <row r="49" spans="1:7" ht="30" customHeight="1" thickBot="1" x14ac:dyDescent="0.35">
      <c r="A49" s="10" t="s">
        <v>29</v>
      </c>
      <c r="B49" s="13" t="b">
        <f>B45=B46</f>
        <v>0</v>
      </c>
      <c r="C49" s="14"/>
      <c r="E49" s="159" t="s">
        <v>25</v>
      </c>
      <c r="F49" s="160"/>
      <c r="G49" s="8">
        <f>SUM(G42:G48)</f>
        <v>974</v>
      </c>
    </row>
    <row r="50" spans="1:7" ht="15.75" thickTop="1" x14ac:dyDescent="0.25"/>
  </sheetData>
  <mergeCells count="3">
    <mergeCell ref="E49:F49"/>
    <mergeCell ref="E2:L2"/>
    <mergeCell ref="A39:C39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6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0"/>
  <sheetViews>
    <sheetView rightToLeft="1" view="pageBreakPreview" topLeftCell="A2" zoomScale="60" zoomScaleNormal="70" workbookViewId="0">
      <pane ySplit="2" topLeftCell="A46" activePane="bottomLeft" state="frozen"/>
      <selection activeCell="B36" sqref="B36"/>
      <selection pane="bottomLeft" activeCell="C3" sqref="C3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37.85546875" bestFit="1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3" width="13.5703125" customWidth="1"/>
    <col min="14" max="14" width="16.7109375" bestFit="1" customWidth="1"/>
    <col min="15" max="15" width="20.5703125" bestFit="1" customWidth="1"/>
    <col min="16" max="16" width="20.140625" bestFit="1" customWidth="1"/>
    <col min="18" max="18" width="20.140625" bestFit="1" customWidth="1"/>
    <col min="19" max="19" width="14" customWidth="1"/>
    <col min="20" max="20" width="13.7109375" bestFit="1" customWidth="1"/>
  </cols>
  <sheetData>
    <row r="1" spans="1:20" ht="15.75" hidden="1" thickBot="1" x14ac:dyDescent="0.3"/>
    <row r="2" spans="1:20" ht="25.5" customHeight="1" x14ac:dyDescent="0.3">
      <c r="A2" s="76" t="s">
        <v>0</v>
      </c>
      <c r="B2" s="76"/>
      <c r="C2" s="76"/>
      <c r="D2" s="76"/>
      <c r="E2" s="77">
        <f ca="1">TODAY()</f>
        <v>45118</v>
      </c>
      <c r="F2" s="76"/>
      <c r="G2" s="76"/>
      <c r="H2" s="76"/>
      <c r="I2" s="76"/>
      <c r="J2" s="76"/>
      <c r="K2" s="76"/>
      <c r="L2" s="76"/>
      <c r="M2" s="78"/>
      <c r="N2" s="78"/>
      <c r="O2" s="78"/>
      <c r="P2" s="78"/>
      <c r="Q2" s="78"/>
      <c r="R2" s="78"/>
      <c r="S2" s="78"/>
      <c r="T2" s="78"/>
    </row>
    <row r="3" spans="1:20" ht="36.75" customHeight="1" x14ac:dyDescent="0.25">
      <c r="A3" s="62" t="s">
        <v>4</v>
      </c>
      <c r="B3" s="62" t="s">
        <v>3</v>
      </c>
      <c r="C3" s="62" t="s">
        <v>1</v>
      </c>
      <c r="D3" s="62" t="s">
        <v>2</v>
      </c>
      <c r="E3" s="73" t="s">
        <v>1</v>
      </c>
      <c r="F3" s="73" t="s">
        <v>13</v>
      </c>
      <c r="G3" s="73" t="s">
        <v>5</v>
      </c>
      <c r="H3" s="73" t="s">
        <v>8</v>
      </c>
      <c r="I3" s="79" t="s">
        <v>9</v>
      </c>
      <c r="J3" s="79" t="s">
        <v>10</v>
      </c>
      <c r="K3" s="79" t="s">
        <v>11</v>
      </c>
      <c r="L3" s="79" t="s">
        <v>12</v>
      </c>
      <c r="M3" s="79" t="s">
        <v>31</v>
      </c>
      <c r="N3" s="79" t="s">
        <v>45</v>
      </c>
      <c r="O3" s="79" t="s">
        <v>32</v>
      </c>
      <c r="P3" s="79" t="s">
        <v>34</v>
      </c>
      <c r="Q3" s="79" t="s">
        <v>35</v>
      </c>
      <c r="R3" s="79" t="s">
        <v>39</v>
      </c>
      <c r="S3" s="79" t="s">
        <v>38</v>
      </c>
      <c r="T3" s="79" t="s">
        <v>40</v>
      </c>
    </row>
    <row r="4" spans="1:20" ht="25.5" customHeight="1" x14ac:dyDescent="0.25">
      <c r="A4" s="74">
        <v>45084</v>
      </c>
      <c r="B4" s="6"/>
      <c r="C4" s="6" t="s">
        <v>14</v>
      </c>
      <c r="D4" s="6">
        <f>481+463</f>
        <v>944</v>
      </c>
      <c r="E4" s="6" t="s">
        <v>68</v>
      </c>
      <c r="F4" s="6">
        <f>SUM(G4:T4)</f>
        <v>225</v>
      </c>
      <c r="G4" s="6"/>
      <c r="H4" s="6"/>
      <c r="I4" s="6"/>
      <c r="J4" s="6"/>
      <c r="K4" s="6"/>
      <c r="L4" s="6">
        <f>90+90+45</f>
        <v>225</v>
      </c>
      <c r="M4" s="6"/>
      <c r="N4" s="6"/>
      <c r="O4" s="6"/>
      <c r="P4" s="6"/>
      <c r="Q4" s="6"/>
      <c r="R4" s="6"/>
      <c r="S4" s="6"/>
      <c r="T4" s="6"/>
    </row>
    <row r="5" spans="1:20" ht="25.5" customHeight="1" x14ac:dyDescent="0.25">
      <c r="A5" s="74">
        <v>45084</v>
      </c>
      <c r="B5" s="6" t="s">
        <v>175</v>
      </c>
      <c r="C5" s="6" t="s">
        <v>15</v>
      </c>
      <c r="D5" s="6">
        <f>1707+1287+57</f>
        <v>3051</v>
      </c>
      <c r="E5" s="6" t="s">
        <v>122</v>
      </c>
      <c r="F5" s="6">
        <f t="shared" ref="F5:F38" si="0">SUM(G5:T5)</f>
        <v>50</v>
      </c>
      <c r="G5" s="6"/>
      <c r="H5" s="6">
        <v>50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</row>
    <row r="6" spans="1:20" ht="25.5" customHeight="1" x14ac:dyDescent="0.25">
      <c r="A6" s="74">
        <v>45084</v>
      </c>
      <c r="B6" s="6"/>
      <c r="C6" s="6" t="s">
        <v>16</v>
      </c>
      <c r="D6" s="6">
        <v>0</v>
      </c>
      <c r="E6" s="6" t="s">
        <v>66</v>
      </c>
      <c r="F6" s="6">
        <f t="shared" si="0"/>
        <v>200</v>
      </c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>
        <v>200</v>
      </c>
      <c r="S6" s="6"/>
      <c r="T6" s="6"/>
    </row>
    <row r="7" spans="1:20" ht="25.5" customHeight="1" x14ac:dyDescent="0.25">
      <c r="A7" s="74">
        <v>45084</v>
      </c>
      <c r="B7" s="6"/>
      <c r="C7" s="6" t="s">
        <v>17</v>
      </c>
      <c r="D7" s="6">
        <f>395+106</f>
        <v>501</v>
      </c>
      <c r="E7" s="6" t="s">
        <v>167</v>
      </c>
      <c r="F7" s="6">
        <f t="shared" si="0"/>
        <v>17</v>
      </c>
      <c r="G7" s="6"/>
      <c r="H7" s="6">
        <v>17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</row>
    <row r="8" spans="1:20" ht="25.5" customHeight="1" x14ac:dyDescent="0.25">
      <c r="A8" s="74">
        <v>45084</v>
      </c>
      <c r="B8" s="6"/>
      <c r="C8" s="6" t="s">
        <v>18</v>
      </c>
      <c r="D8" s="6">
        <f>50+33+38+25+15+20+50+27+40+25+50+22+70</f>
        <v>465</v>
      </c>
      <c r="E8" s="6" t="s">
        <v>168</v>
      </c>
      <c r="F8" s="6">
        <f t="shared" si="0"/>
        <v>370</v>
      </c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>
        <v>370</v>
      </c>
    </row>
    <row r="9" spans="1:20" ht="25.5" customHeight="1" x14ac:dyDescent="0.25">
      <c r="A9" s="74">
        <v>45084</v>
      </c>
      <c r="B9" s="6"/>
      <c r="C9" s="6" t="s">
        <v>30</v>
      </c>
      <c r="D9" s="6">
        <v>0</v>
      </c>
      <c r="E9" s="6" t="s">
        <v>114</v>
      </c>
      <c r="F9" s="6">
        <f t="shared" si="0"/>
        <v>10</v>
      </c>
      <c r="G9" s="6"/>
      <c r="H9" s="6"/>
      <c r="I9" s="6"/>
      <c r="J9" s="6"/>
      <c r="K9" s="6"/>
      <c r="L9" s="6"/>
      <c r="M9" s="6"/>
      <c r="N9" s="6"/>
      <c r="O9" s="6"/>
      <c r="P9" s="6">
        <v>10</v>
      </c>
      <c r="Q9" s="6"/>
      <c r="R9" s="6"/>
      <c r="S9" s="6"/>
      <c r="T9" s="6"/>
    </row>
    <row r="10" spans="1:20" ht="25.5" customHeight="1" x14ac:dyDescent="0.25">
      <c r="A10" s="74">
        <v>45084</v>
      </c>
      <c r="B10" s="6"/>
      <c r="C10" s="6" t="s">
        <v>46</v>
      </c>
      <c r="D10" s="6">
        <v>0</v>
      </c>
      <c r="E10" s="6" t="s">
        <v>169</v>
      </c>
      <c r="F10" s="6">
        <f t="shared" si="0"/>
        <v>20</v>
      </c>
      <c r="G10" s="6"/>
      <c r="H10" s="6"/>
      <c r="I10" s="6"/>
      <c r="J10" s="6"/>
      <c r="K10" s="6"/>
      <c r="L10" s="6"/>
      <c r="M10" s="6">
        <f>10+10</f>
        <v>20</v>
      </c>
      <c r="N10" s="6"/>
      <c r="O10" s="6"/>
      <c r="P10" s="6"/>
      <c r="Q10" s="6"/>
      <c r="R10" s="6"/>
      <c r="S10" s="6"/>
      <c r="T10" s="6"/>
    </row>
    <row r="11" spans="1:20" ht="25.5" customHeight="1" x14ac:dyDescent="0.25">
      <c r="A11" s="74">
        <v>45084</v>
      </c>
      <c r="B11" s="6"/>
      <c r="C11" s="6"/>
      <c r="D11" s="6"/>
      <c r="E11" s="6" t="s">
        <v>170</v>
      </c>
      <c r="F11" s="6">
        <f t="shared" si="0"/>
        <v>120</v>
      </c>
      <c r="G11" s="6"/>
      <c r="H11" s="6"/>
      <c r="I11" s="6"/>
      <c r="J11" s="6"/>
      <c r="K11" s="6"/>
      <c r="L11" s="6"/>
      <c r="M11" s="6"/>
      <c r="N11" s="6">
        <v>120</v>
      </c>
      <c r="O11" s="6"/>
      <c r="P11" s="6"/>
      <c r="Q11" s="6"/>
      <c r="R11" s="6"/>
      <c r="S11" s="6"/>
      <c r="T11" s="6"/>
    </row>
    <row r="12" spans="1:20" ht="25.5" customHeight="1" x14ac:dyDescent="0.25">
      <c r="A12" s="74">
        <v>45084</v>
      </c>
      <c r="B12" s="6"/>
      <c r="C12" s="6"/>
      <c r="D12" s="6"/>
      <c r="E12" s="6" t="s">
        <v>73</v>
      </c>
      <c r="F12" s="6">
        <f t="shared" si="0"/>
        <v>170</v>
      </c>
      <c r="G12" s="6">
        <v>170</v>
      </c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</row>
    <row r="13" spans="1:20" ht="25.5" customHeight="1" x14ac:dyDescent="0.25">
      <c r="A13" s="74">
        <v>45084</v>
      </c>
      <c r="B13" s="6"/>
      <c r="C13" s="6"/>
      <c r="D13" s="6"/>
      <c r="E13" s="6" t="s">
        <v>76</v>
      </c>
      <c r="F13" s="6">
        <f t="shared" si="0"/>
        <v>150</v>
      </c>
      <c r="G13" s="6">
        <v>150</v>
      </c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</row>
    <row r="14" spans="1:20" ht="25.5" customHeight="1" x14ac:dyDescent="0.25">
      <c r="A14" s="74">
        <v>45084</v>
      </c>
      <c r="B14" s="6"/>
      <c r="C14" s="6"/>
      <c r="D14" s="6"/>
      <c r="E14" s="6" t="s">
        <v>74</v>
      </c>
      <c r="F14" s="6">
        <f t="shared" si="0"/>
        <v>150</v>
      </c>
      <c r="G14" s="6">
        <v>150</v>
      </c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</row>
    <row r="15" spans="1:20" ht="25.5" customHeight="1" x14ac:dyDescent="0.25">
      <c r="A15" s="74">
        <v>45084</v>
      </c>
      <c r="B15" s="6"/>
      <c r="C15" s="6"/>
      <c r="D15" s="6"/>
      <c r="E15" s="6" t="s">
        <v>146</v>
      </c>
      <c r="F15" s="6">
        <f t="shared" si="0"/>
        <v>150</v>
      </c>
      <c r="G15" s="6">
        <v>150</v>
      </c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</row>
    <row r="16" spans="1:20" ht="25.5" customHeight="1" x14ac:dyDescent="0.25">
      <c r="A16" s="74">
        <v>45084</v>
      </c>
      <c r="B16" s="6"/>
      <c r="C16" s="6"/>
      <c r="D16" s="6"/>
      <c r="E16" s="6" t="s">
        <v>79</v>
      </c>
      <c r="F16" s="6">
        <f t="shared" si="0"/>
        <v>50</v>
      </c>
      <c r="G16" s="6">
        <v>50</v>
      </c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</row>
    <row r="17" spans="1:20" ht="25.5" customHeight="1" x14ac:dyDescent="0.25">
      <c r="A17" s="74">
        <v>45084</v>
      </c>
      <c r="B17" s="6"/>
      <c r="C17" s="6"/>
      <c r="D17" s="6"/>
      <c r="E17" s="6" t="s">
        <v>121</v>
      </c>
      <c r="F17" s="6">
        <f t="shared" si="0"/>
        <v>160</v>
      </c>
      <c r="G17" s="6">
        <v>160</v>
      </c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</row>
    <row r="18" spans="1:20" ht="25.5" customHeight="1" x14ac:dyDescent="0.25">
      <c r="A18" s="74">
        <v>45084</v>
      </c>
      <c r="B18" s="6"/>
      <c r="C18" s="6"/>
      <c r="D18" s="6"/>
      <c r="E18" s="6" t="s">
        <v>171</v>
      </c>
      <c r="F18" s="6">
        <f t="shared" si="0"/>
        <v>300</v>
      </c>
      <c r="G18" s="6">
        <f>150+150</f>
        <v>300</v>
      </c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</row>
    <row r="19" spans="1:20" ht="25.5" customHeight="1" x14ac:dyDescent="0.25">
      <c r="A19" s="74">
        <v>45084</v>
      </c>
      <c r="B19" s="6"/>
      <c r="C19" s="6"/>
      <c r="D19" s="6"/>
      <c r="E19" s="6" t="s">
        <v>172</v>
      </c>
      <c r="F19" s="6">
        <f t="shared" si="0"/>
        <v>270</v>
      </c>
      <c r="G19" s="6">
        <f>150+120</f>
        <v>270</v>
      </c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</row>
    <row r="20" spans="1:20" ht="25.5" customHeight="1" x14ac:dyDescent="0.25">
      <c r="A20" s="74">
        <v>45084</v>
      </c>
      <c r="B20" s="6"/>
      <c r="C20" s="6"/>
      <c r="D20" s="6"/>
      <c r="E20" s="6" t="s">
        <v>94</v>
      </c>
      <c r="F20" s="6">
        <f t="shared" si="0"/>
        <v>100</v>
      </c>
      <c r="G20" s="6">
        <v>100</v>
      </c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</row>
    <row r="21" spans="1:20" ht="25.5" customHeight="1" x14ac:dyDescent="0.25">
      <c r="A21" s="74">
        <v>45084</v>
      </c>
      <c r="B21" s="6"/>
      <c r="C21" s="6"/>
      <c r="D21" s="6"/>
      <c r="E21" s="6" t="s">
        <v>127</v>
      </c>
      <c r="F21" s="6">
        <f t="shared" si="0"/>
        <v>200</v>
      </c>
      <c r="G21" s="6">
        <v>200</v>
      </c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</row>
    <row r="22" spans="1:20" ht="25.5" customHeight="1" x14ac:dyDescent="0.25">
      <c r="A22" s="74">
        <v>45084</v>
      </c>
      <c r="B22" s="6"/>
      <c r="C22" s="6"/>
      <c r="D22" s="6"/>
      <c r="E22" s="6" t="s">
        <v>82</v>
      </c>
      <c r="F22" s="6">
        <f t="shared" si="0"/>
        <v>170</v>
      </c>
      <c r="G22" s="6">
        <v>170</v>
      </c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</row>
    <row r="23" spans="1:20" ht="25.5" customHeight="1" x14ac:dyDescent="0.25">
      <c r="A23" s="74">
        <v>45084</v>
      </c>
      <c r="B23" s="6"/>
      <c r="C23" s="6"/>
      <c r="D23" s="6"/>
      <c r="E23" s="6" t="s">
        <v>120</v>
      </c>
      <c r="F23" s="6">
        <f t="shared" si="0"/>
        <v>50</v>
      </c>
      <c r="G23" s="6">
        <v>50</v>
      </c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</row>
    <row r="24" spans="1:20" ht="25.5" customHeight="1" x14ac:dyDescent="0.25">
      <c r="A24" s="74">
        <v>45084</v>
      </c>
      <c r="B24" s="6"/>
      <c r="C24" s="6"/>
      <c r="D24" s="6"/>
      <c r="E24" s="6" t="s">
        <v>83</v>
      </c>
      <c r="F24" s="6">
        <f t="shared" si="0"/>
        <v>30</v>
      </c>
      <c r="G24" s="6">
        <v>30</v>
      </c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</row>
    <row r="25" spans="1:20" ht="25.5" customHeight="1" x14ac:dyDescent="0.25">
      <c r="A25" s="74">
        <v>45084</v>
      </c>
      <c r="B25" s="6"/>
      <c r="C25" s="6"/>
      <c r="D25" s="6"/>
      <c r="E25" s="6" t="s">
        <v>173</v>
      </c>
      <c r="F25" s="6">
        <f t="shared" si="0"/>
        <v>320</v>
      </c>
      <c r="G25" s="6">
        <f>170+150</f>
        <v>320</v>
      </c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</row>
    <row r="26" spans="1:20" ht="25.5" customHeight="1" x14ac:dyDescent="0.25">
      <c r="A26" s="74">
        <v>45084</v>
      </c>
      <c r="B26" s="6"/>
      <c r="C26" s="6"/>
      <c r="D26" s="6"/>
      <c r="E26" s="6" t="s">
        <v>80</v>
      </c>
      <c r="F26" s="6">
        <f t="shared" si="0"/>
        <v>50</v>
      </c>
      <c r="G26" s="6">
        <v>50</v>
      </c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</row>
    <row r="27" spans="1:20" ht="25.5" customHeight="1" x14ac:dyDescent="0.25">
      <c r="A27" s="74">
        <v>45084</v>
      </c>
      <c r="B27" s="6"/>
      <c r="C27" s="6"/>
      <c r="D27" s="6"/>
      <c r="E27" s="6" t="s">
        <v>85</v>
      </c>
      <c r="F27" s="6">
        <f t="shared" si="0"/>
        <v>100</v>
      </c>
      <c r="G27" s="6">
        <v>100</v>
      </c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</row>
    <row r="28" spans="1:20" ht="25.5" customHeight="1" x14ac:dyDescent="0.25">
      <c r="A28" s="74">
        <v>45084</v>
      </c>
      <c r="B28" s="6"/>
      <c r="C28" s="6"/>
      <c r="D28" s="6"/>
      <c r="E28" s="6" t="s">
        <v>174</v>
      </c>
      <c r="F28" s="6">
        <f t="shared" si="0"/>
        <v>40</v>
      </c>
      <c r="G28" s="6">
        <v>40</v>
      </c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</row>
    <row r="29" spans="1:20" ht="25.5" customHeight="1" x14ac:dyDescent="0.25">
      <c r="A29" s="74">
        <v>45084</v>
      </c>
      <c r="B29" s="6"/>
      <c r="C29" s="6"/>
      <c r="D29" s="6"/>
      <c r="E29" s="6"/>
      <c r="F29" s="6">
        <f t="shared" si="0"/>
        <v>0</v>
      </c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</row>
    <row r="30" spans="1:20" ht="25.5" customHeight="1" x14ac:dyDescent="0.25">
      <c r="A30" s="74">
        <v>45084</v>
      </c>
      <c r="B30" s="6"/>
      <c r="C30" s="6"/>
      <c r="D30" s="6"/>
      <c r="E30" s="6"/>
      <c r="F30" s="6">
        <f t="shared" si="0"/>
        <v>0</v>
      </c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</row>
    <row r="31" spans="1:20" ht="25.5" customHeight="1" x14ac:dyDescent="0.25">
      <c r="A31" s="74">
        <v>45084</v>
      </c>
      <c r="B31" s="6"/>
      <c r="C31" s="6"/>
      <c r="D31" s="6"/>
      <c r="E31" s="6"/>
      <c r="F31" s="6">
        <f t="shared" si="0"/>
        <v>0</v>
      </c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</row>
    <row r="32" spans="1:20" ht="25.5" customHeight="1" x14ac:dyDescent="0.25">
      <c r="A32" s="74">
        <v>45084</v>
      </c>
      <c r="B32" s="6"/>
      <c r="C32" s="6"/>
      <c r="D32" s="6"/>
      <c r="E32" s="6"/>
      <c r="F32" s="6">
        <f t="shared" si="0"/>
        <v>0</v>
      </c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</row>
    <row r="33" spans="1:20" ht="25.5" customHeight="1" x14ac:dyDescent="0.25">
      <c r="A33" s="74">
        <v>45084</v>
      </c>
      <c r="B33" s="6"/>
      <c r="C33" s="6"/>
      <c r="D33" s="6"/>
      <c r="E33" s="6"/>
      <c r="F33" s="6">
        <f t="shared" si="0"/>
        <v>0</v>
      </c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</row>
    <row r="34" spans="1:20" ht="25.5" customHeight="1" x14ac:dyDescent="0.25">
      <c r="A34" s="74">
        <v>45084</v>
      </c>
      <c r="B34" s="6"/>
      <c r="C34" s="6"/>
      <c r="D34" s="6"/>
      <c r="E34" s="6"/>
      <c r="F34" s="6">
        <f t="shared" si="0"/>
        <v>0</v>
      </c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</row>
    <row r="35" spans="1:20" ht="25.5" customHeight="1" x14ac:dyDescent="0.25">
      <c r="A35" s="74">
        <v>45084</v>
      </c>
      <c r="B35" s="6"/>
      <c r="C35" s="6"/>
      <c r="D35" s="6"/>
      <c r="E35" s="6"/>
      <c r="F35" s="6">
        <f t="shared" si="0"/>
        <v>0</v>
      </c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</row>
    <row r="36" spans="1:20" ht="25.5" customHeight="1" x14ac:dyDescent="0.25">
      <c r="A36" s="74">
        <v>45084</v>
      </c>
      <c r="B36" s="6"/>
      <c r="C36" s="6"/>
      <c r="D36" s="6"/>
      <c r="E36" s="6"/>
      <c r="F36" s="6">
        <f t="shared" si="0"/>
        <v>0</v>
      </c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</row>
    <row r="37" spans="1:20" ht="25.5" customHeight="1" x14ac:dyDescent="0.25">
      <c r="A37" s="74">
        <v>45084</v>
      </c>
      <c r="B37" s="6"/>
      <c r="C37" s="6"/>
      <c r="D37" s="6"/>
      <c r="E37" s="6"/>
      <c r="F37" s="6">
        <f t="shared" si="0"/>
        <v>0</v>
      </c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</row>
    <row r="38" spans="1:20" ht="25.5" customHeight="1" x14ac:dyDescent="0.25">
      <c r="A38" s="74">
        <v>45084</v>
      </c>
      <c r="B38" s="6"/>
      <c r="C38" s="6"/>
      <c r="D38" s="6"/>
      <c r="E38" s="6"/>
      <c r="F38" s="6">
        <f t="shared" si="0"/>
        <v>0</v>
      </c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</row>
    <row r="39" spans="1:20" ht="41.25" customHeight="1" x14ac:dyDescent="0.25">
      <c r="A39" s="165" t="s">
        <v>6</v>
      </c>
      <c r="B39" s="165"/>
      <c r="C39" s="165"/>
      <c r="D39" s="6">
        <f>SUM(D4:D38)</f>
        <v>4961</v>
      </c>
      <c r="E39" s="75"/>
      <c r="F39" s="6">
        <f>SUM(F4:F38)</f>
        <v>3472</v>
      </c>
      <c r="G39" s="6">
        <f t="shared" ref="G39:T39" si="1">SUM(G4:G38)</f>
        <v>2460</v>
      </c>
      <c r="H39" s="6">
        <f t="shared" si="1"/>
        <v>67</v>
      </c>
      <c r="I39" s="6">
        <f t="shared" si="1"/>
        <v>0</v>
      </c>
      <c r="J39" s="6">
        <f t="shared" si="1"/>
        <v>0</v>
      </c>
      <c r="K39" s="6">
        <f t="shared" si="1"/>
        <v>0</v>
      </c>
      <c r="L39" s="6">
        <f t="shared" si="1"/>
        <v>225</v>
      </c>
      <c r="M39" s="6">
        <f t="shared" si="1"/>
        <v>20</v>
      </c>
      <c r="N39" s="6">
        <f t="shared" si="1"/>
        <v>120</v>
      </c>
      <c r="O39" s="6">
        <f t="shared" si="1"/>
        <v>0</v>
      </c>
      <c r="P39" s="6">
        <f t="shared" si="1"/>
        <v>10</v>
      </c>
      <c r="Q39" s="6">
        <f t="shared" si="1"/>
        <v>0</v>
      </c>
      <c r="R39" s="6">
        <f t="shared" si="1"/>
        <v>200</v>
      </c>
      <c r="S39" s="6">
        <f t="shared" si="1"/>
        <v>0</v>
      </c>
      <c r="T39" s="6">
        <f t="shared" si="1"/>
        <v>370</v>
      </c>
    </row>
    <row r="40" spans="1:20" ht="15.75" thickBot="1" x14ac:dyDescent="0.3"/>
    <row r="41" spans="1:20" ht="30.75" customHeight="1" thickTop="1" thickBot="1" x14ac:dyDescent="0.3">
      <c r="A41" s="166" t="s">
        <v>36</v>
      </c>
      <c r="B41" s="167"/>
      <c r="C41" s="167"/>
      <c r="E41" s="2" t="s">
        <v>26</v>
      </c>
      <c r="F41" s="3" t="s">
        <v>27</v>
      </c>
      <c r="G41" s="4" t="s">
        <v>28</v>
      </c>
    </row>
    <row r="42" spans="1:20" ht="48.75" customHeight="1" thickTop="1" x14ac:dyDescent="0.25">
      <c r="A42" s="2" t="s">
        <v>19</v>
      </c>
      <c r="B42" s="6">
        <f>+D39</f>
        <v>4961</v>
      </c>
      <c r="C42" s="7"/>
      <c r="E42" s="5">
        <v>200</v>
      </c>
      <c r="F42" s="6">
        <v>3</v>
      </c>
      <c r="G42" s="7">
        <f>+E42*F42</f>
        <v>600</v>
      </c>
    </row>
    <row r="43" spans="1:20" ht="46.5" customHeight="1" x14ac:dyDescent="0.25">
      <c r="A43" s="9" t="s">
        <v>20</v>
      </c>
      <c r="B43" s="6">
        <f>D8</f>
        <v>465</v>
      </c>
      <c r="C43" s="7"/>
      <c r="E43" s="5">
        <v>100</v>
      </c>
      <c r="F43" s="6">
        <v>3</v>
      </c>
      <c r="G43" s="7">
        <f t="shared" ref="G43:G45" si="2">+E43*F43</f>
        <v>300</v>
      </c>
    </row>
    <row r="44" spans="1:20" ht="46.5" customHeight="1" x14ac:dyDescent="0.25">
      <c r="A44" s="9" t="s">
        <v>21</v>
      </c>
      <c r="B44" s="6">
        <f>F39</f>
        <v>3472</v>
      </c>
      <c r="C44" s="7"/>
      <c r="E44" s="5">
        <v>50</v>
      </c>
      <c r="F44" s="6"/>
      <c r="G44" s="7">
        <f t="shared" si="2"/>
        <v>0</v>
      </c>
    </row>
    <row r="45" spans="1:20" ht="51.75" customHeight="1" x14ac:dyDescent="0.25">
      <c r="A45" s="9" t="s">
        <v>22</v>
      </c>
      <c r="B45" s="11">
        <f>+B42-B43-B44</f>
        <v>1024</v>
      </c>
      <c r="C45" s="12"/>
      <c r="E45" s="5">
        <v>20</v>
      </c>
      <c r="F45" s="6">
        <v>4</v>
      </c>
      <c r="G45" s="7">
        <f t="shared" si="2"/>
        <v>80</v>
      </c>
    </row>
    <row r="46" spans="1:20" ht="46.5" customHeight="1" x14ac:dyDescent="0.25">
      <c r="A46" s="9" t="s">
        <v>23</v>
      </c>
      <c r="B46" s="11">
        <f>G49</f>
        <v>1024</v>
      </c>
      <c r="C46" s="12"/>
      <c r="D46" s="1"/>
      <c r="E46" s="5">
        <v>10</v>
      </c>
      <c r="F46" s="6">
        <v>4</v>
      </c>
      <c r="G46" s="7">
        <f>+E46*F46</f>
        <v>40</v>
      </c>
    </row>
    <row r="47" spans="1:20" ht="34.5" customHeight="1" x14ac:dyDescent="0.25">
      <c r="A47" s="9" t="s">
        <v>24</v>
      </c>
      <c r="B47" s="11">
        <f>IF(B45&lt;B46,B46-B45,0)</f>
        <v>0</v>
      </c>
      <c r="C47" s="12"/>
      <c r="E47" s="5">
        <v>5</v>
      </c>
      <c r="F47" s="6"/>
      <c r="G47" s="7">
        <f>+E47*F47</f>
        <v>0</v>
      </c>
    </row>
    <row r="48" spans="1:20" ht="36.75" customHeight="1" x14ac:dyDescent="0.25">
      <c r="A48" s="9" t="s">
        <v>7</v>
      </c>
      <c r="B48" s="11">
        <f>IF(B45&gt;B46,B45-B46,0)</f>
        <v>0</v>
      </c>
      <c r="C48" s="12"/>
      <c r="E48" s="5">
        <v>1</v>
      </c>
      <c r="F48" s="6">
        <v>4</v>
      </c>
      <c r="G48" s="7">
        <f>+E48*F48</f>
        <v>4</v>
      </c>
    </row>
    <row r="49" spans="1:7" ht="30" customHeight="1" thickBot="1" x14ac:dyDescent="0.35">
      <c r="A49" s="10" t="s">
        <v>29</v>
      </c>
      <c r="B49" s="13" t="b">
        <f>B45=B46</f>
        <v>1</v>
      </c>
      <c r="C49" s="14"/>
      <c r="E49" s="159" t="s">
        <v>25</v>
      </c>
      <c r="F49" s="160"/>
      <c r="G49" s="8">
        <f>SUM(G42:G48)</f>
        <v>1024</v>
      </c>
    </row>
    <row r="50" spans="1:7" ht="15.75" thickTop="1" x14ac:dyDescent="0.25"/>
  </sheetData>
  <mergeCells count="3">
    <mergeCell ref="A39:C39"/>
    <mergeCell ref="E49:F49"/>
    <mergeCell ref="A41:C4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0"/>
  <sheetViews>
    <sheetView rightToLeft="1" topLeftCell="E40" zoomScale="70" zoomScaleNormal="70" workbookViewId="0">
      <selection activeCell="N43" sqref="N43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4.8554687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7" customWidth="1"/>
    <col min="16" max="16" width="18" customWidth="1"/>
    <col min="18" max="18" width="15.85546875" bestFit="1" customWidth="1"/>
    <col min="19" max="19" width="14" customWidth="1"/>
    <col min="20" max="20" width="10.140625" customWidth="1"/>
  </cols>
  <sheetData>
    <row r="1" spans="1:20" ht="15.75" hidden="1" thickBot="1" x14ac:dyDescent="0.3"/>
    <row r="2" spans="1:20" ht="25.5" customHeight="1" thickBot="1" x14ac:dyDescent="0.3">
      <c r="A2" s="50" t="s">
        <v>0</v>
      </c>
      <c r="B2" s="51"/>
      <c r="C2" s="51"/>
      <c r="D2" s="52"/>
      <c r="E2" s="157">
        <f ca="1">TODAY()</f>
        <v>45118</v>
      </c>
      <c r="F2" s="158"/>
      <c r="G2" s="158"/>
      <c r="H2" s="158"/>
      <c r="I2" s="158"/>
      <c r="J2" s="158"/>
      <c r="K2" s="158"/>
      <c r="L2" s="158"/>
      <c r="M2" s="53"/>
      <c r="N2" s="53"/>
      <c r="O2" s="53"/>
      <c r="P2" s="53"/>
      <c r="Q2" s="53"/>
      <c r="R2" s="53"/>
      <c r="S2" s="53"/>
      <c r="T2" s="53"/>
    </row>
    <row r="3" spans="1:20" ht="36.75" customHeight="1" x14ac:dyDescent="0.25">
      <c r="A3" s="54" t="s">
        <v>4</v>
      </c>
      <c r="B3" s="54" t="s">
        <v>3</v>
      </c>
      <c r="C3" s="54" t="s">
        <v>1</v>
      </c>
      <c r="D3" s="54" t="s">
        <v>2</v>
      </c>
      <c r="E3" s="54" t="s">
        <v>1</v>
      </c>
      <c r="F3" s="54" t="s">
        <v>13</v>
      </c>
      <c r="G3" s="54" t="s">
        <v>5</v>
      </c>
      <c r="H3" s="57" t="s">
        <v>8</v>
      </c>
      <c r="I3" s="18" t="s">
        <v>9</v>
      </c>
      <c r="J3" s="18" t="s">
        <v>10</v>
      </c>
      <c r="K3" s="18" t="s">
        <v>11</v>
      </c>
      <c r="L3" s="18" t="s">
        <v>12</v>
      </c>
      <c r="M3" s="18" t="s">
        <v>31</v>
      </c>
      <c r="N3" s="18" t="s">
        <v>45</v>
      </c>
      <c r="O3" s="18" t="s">
        <v>32</v>
      </c>
      <c r="P3" s="18" t="s">
        <v>34</v>
      </c>
      <c r="Q3" s="18" t="s">
        <v>35</v>
      </c>
      <c r="R3" s="18" t="s">
        <v>39</v>
      </c>
      <c r="S3" s="18" t="s">
        <v>38</v>
      </c>
      <c r="T3" s="19" t="s">
        <v>40</v>
      </c>
    </row>
    <row r="4" spans="1:20" ht="25.5" customHeight="1" x14ac:dyDescent="0.25">
      <c r="A4" s="59">
        <v>45085</v>
      </c>
      <c r="B4" s="15"/>
      <c r="C4" s="15" t="s">
        <v>14</v>
      </c>
      <c r="D4" s="15">
        <f>443+591</f>
        <v>1034</v>
      </c>
      <c r="E4" s="15" t="s">
        <v>189</v>
      </c>
      <c r="F4" s="15">
        <f>SUM(G4:T4)</f>
        <v>90</v>
      </c>
      <c r="G4" s="15"/>
      <c r="H4" s="56">
        <v>90</v>
      </c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</row>
    <row r="5" spans="1:20" ht="25.5" customHeight="1" x14ac:dyDescent="0.25">
      <c r="A5" s="59">
        <v>45085</v>
      </c>
      <c r="B5" s="15"/>
      <c r="C5" s="15" t="s">
        <v>15</v>
      </c>
      <c r="D5" s="15">
        <f>976+2681</f>
        <v>3657</v>
      </c>
      <c r="E5" s="15" t="s">
        <v>190</v>
      </c>
      <c r="F5" s="15">
        <f t="shared" ref="F5:F38" si="0">SUM(G5:T5)</f>
        <v>110</v>
      </c>
      <c r="G5" s="15"/>
      <c r="H5" s="56"/>
      <c r="I5" s="15"/>
      <c r="J5" s="15"/>
      <c r="K5" s="15"/>
      <c r="L5" s="15">
        <v>110</v>
      </c>
      <c r="M5" s="15"/>
      <c r="N5" s="15"/>
      <c r="O5" s="15"/>
      <c r="P5" s="15"/>
      <c r="Q5" s="15"/>
      <c r="R5" s="15"/>
      <c r="S5" s="15"/>
      <c r="T5" s="15"/>
    </row>
    <row r="6" spans="1:20" ht="25.5" customHeight="1" x14ac:dyDescent="0.25">
      <c r="A6" s="59">
        <v>45085</v>
      </c>
      <c r="B6" s="15"/>
      <c r="C6" s="15" t="s">
        <v>16</v>
      </c>
      <c r="D6" s="15">
        <v>0</v>
      </c>
      <c r="E6" s="15" t="s">
        <v>191</v>
      </c>
      <c r="F6" s="15">
        <f t="shared" si="0"/>
        <v>180</v>
      </c>
      <c r="G6" s="15"/>
      <c r="H6" s="56"/>
      <c r="I6" s="15"/>
      <c r="J6" s="15"/>
      <c r="K6" s="15"/>
      <c r="L6" s="15">
        <f>90+90</f>
        <v>180</v>
      </c>
      <c r="M6" s="15"/>
      <c r="N6" s="15"/>
      <c r="O6" s="15"/>
      <c r="P6" s="15"/>
      <c r="Q6" s="15"/>
      <c r="R6" s="15"/>
      <c r="S6" s="15"/>
      <c r="T6" s="15"/>
    </row>
    <row r="7" spans="1:20" ht="25.5" customHeight="1" x14ac:dyDescent="0.25">
      <c r="A7" s="59">
        <v>45085</v>
      </c>
      <c r="B7" s="15"/>
      <c r="C7" s="15" t="s">
        <v>17</v>
      </c>
      <c r="D7" s="15">
        <f>119</f>
        <v>119</v>
      </c>
      <c r="E7" s="15" t="s">
        <v>66</v>
      </c>
      <c r="F7" s="15">
        <f t="shared" si="0"/>
        <v>100</v>
      </c>
      <c r="G7" s="15"/>
      <c r="H7" s="56"/>
      <c r="I7" s="15"/>
      <c r="J7" s="15"/>
      <c r="K7" s="15"/>
      <c r="L7" s="15"/>
      <c r="M7" s="15"/>
      <c r="N7" s="15"/>
      <c r="O7" s="15"/>
      <c r="P7" s="15"/>
      <c r="Q7" s="15"/>
      <c r="R7" s="15">
        <v>100</v>
      </c>
      <c r="S7" s="15"/>
      <c r="T7" s="15"/>
    </row>
    <row r="8" spans="1:20" ht="25.5" customHeight="1" x14ac:dyDescent="0.25">
      <c r="A8" s="59">
        <v>45085</v>
      </c>
      <c r="B8" s="15"/>
      <c r="C8" s="15" t="s">
        <v>18</v>
      </c>
      <c r="D8" s="15">
        <f>20+20+150+20+700+55+60+25+50+42</f>
        <v>1142</v>
      </c>
      <c r="E8" s="15" t="s">
        <v>192</v>
      </c>
      <c r="F8" s="15">
        <f t="shared" si="0"/>
        <v>925</v>
      </c>
      <c r="G8" s="15"/>
      <c r="H8" s="56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>
        <v>925</v>
      </c>
    </row>
    <row r="9" spans="1:20" ht="25.5" customHeight="1" x14ac:dyDescent="0.25">
      <c r="A9" s="59">
        <v>45085</v>
      </c>
      <c r="B9" s="15"/>
      <c r="C9" s="15" t="s">
        <v>30</v>
      </c>
      <c r="D9" s="15">
        <v>-2</v>
      </c>
      <c r="E9" s="91" t="s">
        <v>114</v>
      </c>
      <c r="F9" s="15">
        <f t="shared" si="0"/>
        <v>10</v>
      </c>
      <c r="G9" s="15"/>
      <c r="H9" s="56"/>
      <c r="I9" s="15"/>
      <c r="J9" s="15"/>
      <c r="K9" s="15"/>
      <c r="L9" s="15"/>
      <c r="M9" s="15"/>
      <c r="N9" s="15"/>
      <c r="O9" s="15"/>
      <c r="P9" s="15">
        <v>10</v>
      </c>
      <c r="Q9" s="15"/>
      <c r="R9" s="15"/>
      <c r="S9" s="15"/>
      <c r="T9" s="15"/>
    </row>
    <row r="10" spans="1:20" ht="25.5" customHeight="1" x14ac:dyDescent="0.25">
      <c r="A10" s="59">
        <v>45085</v>
      </c>
      <c r="B10" s="15"/>
      <c r="C10" s="15" t="s">
        <v>46</v>
      </c>
      <c r="D10" s="15">
        <v>0</v>
      </c>
      <c r="E10" s="15" t="s">
        <v>73</v>
      </c>
      <c r="F10" s="15">
        <f t="shared" si="0"/>
        <v>170</v>
      </c>
      <c r="G10" s="15">
        <v>170</v>
      </c>
      <c r="H10" s="56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ht="25.5" customHeight="1" x14ac:dyDescent="0.25">
      <c r="A11" s="59">
        <v>45085</v>
      </c>
      <c r="B11" s="15"/>
      <c r="C11" s="15"/>
      <c r="D11" s="15"/>
      <c r="E11" s="15" t="s">
        <v>76</v>
      </c>
      <c r="F11" s="15">
        <f t="shared" si="0"/>
        <v>150</v>
      </c>
      <c r="G11" s="15">
        <v>150</v>
      </c>
      <c r="H11" s="56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</row>
    <row r="12" spans="1:20" ht="25.5" customHeight="1" x14ac:dyDescent="0.25">
      <c r="A12" s="59">
        <v>45085</v>
      </c>
      <c r="B12" s="15"/>
      <c r="C12" s="15"/>
      <c r="D12" s="15"/>
      <c r="E12" s="15" t="s">
        <v>74</v>
      </c>
      <c r="F12" s="15">
        <f t="shared" si="0"/>
        <v>150</v>
      </c>
      <c r="G12" s="15">
        <v>150</v>
      </c>
      <c r="H12" s="56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</row>
    <row r="13" spans="1:20" ht="25.5" customHeight="1" x14ac:dyDescent="0.25">
      <c r="A13" s="59">
        <v>45085</v>
      </c>
      <c r="B13" s="15"/>
      <c r="C13" s="15"/>
      <c r="D13" s="15"/>
      <c r="E13" s="15" t="s">
        <v>146</v>
      </c>
      <c r="F13" s="15">
        <f t="shared" si="0"/>
        <v>150</v>
      </c>
      <c r="G13" s="15">
        <v>150</v>
      </c>
      <c r="H13" s="56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ht="25.5" customHeight="1" x14ac:dyDescent="0.25">
      <c r="A14" s="59">
        <v>45085</v>
      </c>
      <c r="B14" s="15"/>
      <c r="C14" s="15"/>
      <c r="D14" s="15"/>
      <c r="E14" s="15" t="s">
        <v>79</v>
      </c>
      <c r="F14" s="15">
        <f t="shared" si="0"/>
        <v>50</v>
      </c>
      <c r="G14" s="15">
        <v>50</v>
      </c>
      <c r="H14" s="56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ht="25.5" customHeight="1" x14ac:dyDescent="0.25">
      <c r="A15" s="59">
        <v>45085</v>
      </c>
      <c r="B15" s="15"/>
      <c r="C15" s="15"/>
      <c r="D15" s="15"/>
      <c r="E15" s="15" t="s">
        <v>121</v>
      </c>
      <c r="F15" s="15">
        <f t="shared" si="0"/>
        <v>160</v>
      </c>
      <c r="G15" s="15">
        <v>160</v>
      </c>
      <c r="H15" s="56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ht="25.5" customHeight="1" x14ac:dyDescent="0.25">
      <c r="A16" s="59">
        <v>45085</v>
      </c>
      <c r="B16" s="15"/>
      <c r="C16" s="15"/>
      <c r="D16" s="15"/>
      <c r="E16" s="15" t="s">
        <v>77</v>
      </c>
      <c r="F16" s="15">
        <f t="shared" si="0"/>
        <v>100</v>
      </c>
      <c r="G16" s="15">
        <v>100</v>
      </c>
      <c r="H16" s="56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</row>
    <row r="17" spans="1:20" ht="25.5" customHeight="1" x14ac:dyDescent="0.25">
      <c r="A17" s="59">
        <v>45085</v>
      </c>
      <c r="B17" s="15"/>
      <c r="C17" s="15"/>
      <c r="D17" s="15"/>
      <c r="E17" s="15" t="s">
        <v>127</v>
      </c>
      <c r="F17" s="15">
        <f t="shared" si="0"/>
        <v>200</v>
      </c>
      <c r="G17" s="15">
        <v>200</v>
      </c>
      <c r="H17" s="56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</row>
    <row r="18" spans="1:20" ht="25.5" customHeight="1" x14ac:dyDescent="0.25">
      <c r="A18" s="59">
        <v>45085</v>
      </c>
      <c r="B18" s="15"/>
      <c r="C18" s="15"/>
      <c r="D18" s="15"/>
      <c r="E18" s="15" t="s">
        <v>193</v>
      </c>
      <c r="F18" s="15">
        <f t="shared" si="0"/>
        <v>500</v>
      </c>
      <c r="G18" s="15">
        <v>500</v>
      </c>
      <c r="H18" s="56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ht="25.5" customHeight="1" x14ac:dyDescent="0.25">
      <c r="A19" s="59">
        <v>45085</v>
      </c>
      <c r="B19" s="15"/>
      <c r="C19" s="15"/>
      <c r="D19" s="15"/>
      <c r="E19" s="15" t="s">
        <v>120</v>
      </c>
      <c r="F19" s="15">
        <f t="shared" si="0"/>
        <v>50</v>
      </c>
      <c r="G19" s="15">
        <v>50</v>
      </c>
      <c r="H19" s="56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ht="25.5" customHeight="1" x14ac:dyDescent="0.25">
      <c r="A20" s="59">
        <v>45085</v>
      </c>
      <c r="B20" s="15"/>
      <c r="C20" s="15"/>
      <c r="D20" s="15"/>
      <c r="E20" s="15" t="s">
        <v>126</v>
      </c>
      <c r="F20" s="15">
        <f t="shared" si="0"/>
        <v>170</v>
      </c>
      <c r="G20" s="15">
        <v>170</v>
      </c>
      <c r="H20" s="56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ht="25.5" customHeight="1" x14ac:dyDescent="0.25">
      <c r="A21" s="59">
        <v>45085</v>
      </c>
      <c r="B21" s="15"/>
      <c r="C21" s="15"/>
      <c r="D21" s="15"/>
      <c r="E21" s="15" t="s">
        <v>85</v>
      </c>
      <c r="F21" s="15">
        <f t="shared" si="0"/>
        <v>100</v>
      </c>
      <c r="G21" s="15">
        <v>100</v>
      </c>
      <c r="H21" s="56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25.5" customHeight="1" x14ac:dyDescent="0.25">
      <c r="A22" s="59">
        <v>45085</v>
      </c>
      <c r="B22" s="15"/>
      <c r="C22" s="15"/>
      <c r="D22" s="15"/>
      <c r="E22" s="15" t="s">
        <v>88</v>
      </c>
      <c r="F22" s="15">
        <f t="shared" si="0"/>
        <v>150</v>
      </c>
      <c r="G22" s="15">
        <v>150</v>
      </c>
      <c r="H22" s="56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</row>
    <row r="23" spans="1:20" ht="25.5" customHeight="1" x14ac:dyDescent="0.25">
      <c r="A23" s="59">
        <v>45085</v>
      </c>
      <c r="B23" s="15"/>
      <c r="C23" s="15"/>
      <c r="D23" s="15"/>
      <c r="E23" s="15" t="s">
        <v>86</v>
      </c>
      <c r="F23" s="15">
        <f t="shared" si="0"/>
        <v>120</v>
      </c>
      <c r="G23" s="15">
        <v>120</v>
      </c>
      <c r="H23" s="56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</row>
    <row r="24" spans="1:20" ht="25.5" customHeight="1" x14ac:dyDescent="0.25">
      <c r="A24" s="59">
        <v>45085</v>
      </c>
      <c r="B24" s="15"/>
      <c r="C24" s="15"/>
      <c r="D24" s="15"/>
      <c r="E24" s="15" t="s">
        <v>80</v>
      </c>
      <c r="F24" s="15">
        <f t="shared" si="0"/>
        <v>50</v>
      </c>
      <c r="G24" s="15">
        <v>50</v>
      </c>
      <c r="H24" s="56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</row>
    <row r="25" spans="1:20" ht="25.5" customHeight="1" x14ac:dyDescent="0.25">
      <c r="A25" s="59">
        <v>45085</v>
      </c>
      <c r="B25" s="15"/>
      <c r="C25" s="15"/>
      <c r="D25" s="15"/>
      <c r="E25" s="15" t="s">
        <v>83</v>
      </c>
      <c r="F25" s="15">
        <f t="shared" si="0"/>
        <v>30</v>
      </c>
      <c r="G25" s="15">
        <v>30</v>
      </c>
      <c r="H25" s="56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</row>
    <row r="26" spans="1:20" ht="25.5" customHeight="1" x14ac:dyDescent="0.25">
      <c r="A26" s="59">
        <v>45085</v>
      </c>
      <c r="B26" s="15"/>
      <c r="C26" s="15"/>
      <c r="D26" s="15"/>
      <c r="E26" s="15"/>
      <c r="F26" s="15">
        <f t="shared" si="0"/>
        <v>0</v>
      </c>
      <c r="G26" s="15"/>
      <c r="H26" s="56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</row>
    <row r="27" spans="1:20" ht="25.5" customHeight="1" x14ac:dyDescent="0.25">
      <c r="A27" s="59">
        <v>45085</v>
      </c>
      <c r="B27" s="15"/>
      <c r="C27" s="15"/>
      <c r="D27" s="15"/>
      <c r="E27" s="15"/>
      <c r="F27" s="15">
        <f t="shared" si="0"/>
        <v>0</v>
      </c>
      <c r="G27" s="15"/>
      <c r="H27" s="56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</row>
    <row r="28" spans="1:20" ht="25.5" customHeight="1" x14ac:dyDescent="0.25">
      <c r="A28" s="59">
        <v>45085</v>
      </c>
      <c r="B28" s="15"/>
      <c r="C28" s="15"/>
      <c r="D28" s="15"/>
      <c r="E28" s="15"/>
      <c r="F28" s="15">
        <f t="shared" si="0"/>
        <v>0</v>
      </c>
      <c r="G28" s="15"/>
      <c r="H28" s="56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</row>
    <row r="29" spans="1:20" ht="25.5" customHeight="1" x14ac:dyDescent="0.25">
      <c r="A29" s="59">
        <v>45085</v>
      </c>
      <c r="B29" s="15"/>
      <c r="C29" s="15"/>
      <c r="D29" s="15"/>
      <c r="E29" s="15"/>
      <c r="F29" s="15">
        <f t="shared" si="0"/>
        <v>0</v>
      </c>
      <c r="G29" s="15"/>
      <c r="H29" s="56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</row>
    <row r="30" spans="1:20" ht="25.5" customHeight="1" x14ac:dyDescent="0.25">
      <c r="A30" s="59">
        <v>45085</v>
      </c>
      <c r="B30" s="15"/>
      <c r="C30" s="15"/>
      <c r="D30" s="15"/>
      <c r="E30" s="15"/>
      <c r="F30" s="15">
        <f t="shared" si="0"/>
        <v>0</v>
      </c>
      <c r="G30" s="15"/>
      <c r="H30" s="56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</row>
    <row r="31" spans="1:20" ht="25.5" customHeight="1" x14ac:dyDescent="0.25">
      <c r="A31" s="59">
        <v>45085</v>
      </c>
      <c r="B31" s="15"/>
      <c r="C31" s="15"/>
      <c r="D31" s="15"/>
      <c r="E31" s="15"/>
      <c r="F31" s="15">
        <f t="shared" si="0"/>
        <v>0</v>
      </c>
      <c r="G31" s="15"/>
      <c r="H31" s="56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</row>
    <row r="32" spans="1:20" ht="25.5" customHeight="1" x14ac:dyDescent="0.25">
      <c r="A32" s="59">
        <v>45085</v>
      </c>
      <c r="B32" s="15"/>
      <c r="C32" s="15"/>
      <c r="D32" s="15"/>
      <c r="E32" s="15"/>
      <c r="F32" s="15">
        <f t="shared" si="0"/>
        <v>0</v>
      </c>
      <c r="G32" s="15"/>
      <c r="H32" s="56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</row>
    <row r="33" spans="1:20" ht="25.5" customHeight="1" x14ac:dyDescent="0.25">
      <c r="A33" s="59"/>
      <c r="B33" s="15"/>
      <c r="C33" s="15"/>
      <c r="D33" s="15"/>
      <c r="E33" s="15"/>
      <c r="F33" s="15">
        <f t="shared" si="0"/>
        <v>0</v>
      </c>
      <c r="G33" s="15"/>
      <c r="H33" s="56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</row>
    <row r="34" spans="1:20" ht="25.5" customHeight="1" x14ac:dyDescent="0.25">
      <c r="A34" s="59"/>
      <c r="B34" s="15"/>
      <c r="C34" s="15"/>
      <c r="D34" s="15"/>
      <c r="E34" s="15"/>
      <c r="F34" s="15">
        <f t="shared" si="0"/>
        <v>0</v>
      </c>
      <c r="G34" s="15"/>
      <c r="H34" s="56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</row>
    <row r="35" spans="1:20" ht="25.5" customHeight="1" x14ac:dyDescent="0.25">
      <c r="A35" s="59"/>
      <c r="B35" s="15"/>
      <c r="C35" s="15"/>
      <c r="D35" s="15"/>
      <c r="E35" s="15"/>
      <c r="F35" s="15">
        <f t="shared" si="0"/>
        <v>0</v>
      </c>
      <c r="G35" s="15"/>
      <c r="H35" s="56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</row>
    <row r="36" spans="1:20" ht="25.5" customHeight="1" x14ac:dyDescent="0.25">
      <c r="A36" s="59"/>
      <c r="B36" s="15"/>
      <c r="C36" s="15"/>
      <c r="D36" s="15"/>
      <c r="E36" s="15"/>
      <c r="F36" s="15">
        <f t="shared" si="0"/>
        <v>0</v>
      </c>
      <c r="G36" s="15"/>
      <c r="H36" s="56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</row>
    <row r="37" spans="1:20" ht="25.5" customHeight="1" x14ac:dyDescent="0.25">
      <c r="A37" s="59"/>
      <c r="B37" s="15"/>
      <c r="C37" s="15"/>
      <c r="D37" s="15"/>
      <c r="E37" s="15"/>
      <c r="F37" s="15">
        <f t="shared" si="0"/>
        <v>0</v>
      </c>
      <c r="G37" s="15"/>
      <c r="H37" s="56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</row>
    <row r="38" spans="1:20" ht="25.5" customHeight="1" x14ac:dyDescent="0.25">
      <c r="A38" s="59"/>
      <c r="B38" s="15"/>
      <c r="C38" s="15"/>
      <c r="D38" s="15"/>
      <c r="E38" s="15"/>
      <c r="F38" s="15">
        <f t="shared" si="0"/>
        <v>0</v>
      </c>
      <c r="G38" s="15"/>
      <c r="H38" s="56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</row>
    <row r="39" spans="1:20" ht="41.25" customHeight="1" x14ac:dyDescent="0.25">
      <c r="A39" s="161" t="s">
        <v>6</v>
      </c>
      <c r="B39" s="161"/>
      <c r="C39" s="161"/>
      <c r="D39" s="15">
        <f>SUM(D4:D38)</f>
        <v>5950</v>
      </c>
      <c r="E39" s="55"/>
      <c r="F39" s="15">
        <f>SUM(F4:F38)</f>
        <v>3715</v>
      </c>
      <c r="G39" s="15">
        <f t="shared" ref="G39:T39" si="1">SUM(G4:G38)</f>
        <v>2300</v>
      </c>
      <c r="H39" s="56">
        <f t="shared" si="1"/>
        <v>90</v>
      </c>
      <c r="I39" s="15">
        <f t="shared" si="1"/>
        <v>0</v>
      </c>
      <c r="J39" s="15">
        <f t="shared" si="1"/>
        <v>0</v>
      </c>
      <c r="K39" s="15">
        <f t="shared" si="1"/>
        <v>0</v>
      </c>
      <c r="L39" s="15">
        <f t="shared" si="1"/>
        <v>290</v>
      </c>
      <c r="M39" s="15">
        <f t="shared" si="1"/>
        <v>0</v>
      </c>
      <c r="N39" s="15">
        <f t="shared" si="1"/>
        <v>0</v>
      </c>
      <c r="O39" s="15">
        <f t="shared" si="1"/>
        <v>0</v>
      </c>
      <c r="P39" s="15">
        <f t="shared" si="1"/>
        <v>10</v>
      </c>
      <c r="Q39" s="15">
        <f t="shared" si="1"/>
        <v>0</v>
      </c>
      <c r="R39" s="15">
        <f t="shared" si="1"/>
        <v>100</v>
      </c>
      <c r="S39" s="15">
        <f t="shared" si="1"/>
        <v>0</v>
      </c>
      <c r="T39" s="15">
        <f t="shared" si="1"/>
        <v>925</v>
      </c>
    </row>
    <row r="40" spans="1:20" ht="15.75" thickBot="1" x14ac:dyDescent="0.3"/>
    <row r="41" spans="1:20" ht="30.75" customHeight="1" thickTop="1" thickBot="1" x14ac:dyDescent="0.3">
      <c r="E41" s="2" t="s">
        <v>26</v>
      </c>
      <c r="F41" s="3" t="s">
        <v>27</v>
      </c>
      <c r="G41" s="4" t="s">
        <v>28</v>
      </c>
    </row>
    <row r="42" spans="1:20" ht="48.75" customHeight="1" thickTop="1" x14ac:dyDescent="0.25">
      <c r="A42" s="2" t="s">
        <v>19</v>
      </c>
      <c r="B42" s="6">
        <f>+D39</f>
        <v>5950</v>
      </c>
      <c r="C42" s="7"/>
      <c r="E42" s="5">
        <v>200</v>
      </c>
      <c r="F42" s="6">
        <v>5</v>
      </c>
      <c r="G42" s="7">
        <f>+E42*F42</f>
        <v>1000</v>
      </c>
    </row>
    <row r="43" spans="1:20" ht="46.5" customHeight="1" x14ac:dyDescent="0.25">
      <c r="A43" s="9" t="s">
        <v>20</v>
      </c>
      <c r="B43" s="6">
        <f>D8</f>
        <v>1142</v>
      </c>
      <c r="C43" s="7"/>
      <c r="E43" s="5">
        <v>100</v>
      </c>
      <c r="F43" s="6"/>
      <c r="G43" s="7">
        <f t="shared" ref="G43:G45" si="2">+E43*F43</f>
        <v>0</v>
      </c>
    </row>
    <row r="44" spans="1:20" ht="46.5" customHeight="1" x14ac:dyDescent="0.25">
      <c r="A44" s="9" t="s">
        <v>21</v>
      </c>
      <c r="B44" s="6">
        <f>F39</f>
        <v>3715</v>
      </c>
      <c r="C44" s="7"/>
      <c r="E44" s="5">
        <v>50</v>
      </c>
      <c r="F44" s="6"/>
      <c r="G44" s="7">
        <f t="shared" si="2"/>
        <v>0</v>
      </c>
    </row>
    <row r="45" spans="1:20" ht="51.75" customHeight="1" x14ac:dyDescent="0.25">
      <c r="A45" s="9" t="s">
        <v>22</v>
      </c>
      <c r="B45" s="11">
        <f>+B42-B43-B44</f>
        <v>1093</v>
      </c>
      <c r="C45" s="12"/>
      <c r="E45" s="5">
        <v>20</v>
      </c>
      <c r="F45" s="6">
        <v>3</v>
      </c>
      <c r="G45" s="7">
        <f t="shared" si="2"/>
        <v>60</v>
      </c>
    </row>
    <row r="46" spans="1:20" ht="46.5" customHeight="1" x14ac:dyDescent="0.25">
      <c r="A46" s="9" t="s">
        <v>23</v>
      </c>
      <c r="B46" s="11">
        <f>G49</f>
        <v>1113</v>
      </c>
      <c r="C46" s="12"/>
      <c r="D46" s="1"/>
      <c r="E46" s="5">
        <v>10</v>
      </c>
      <c r="F46" s="6">
        <v>3</v>
      </c>
      <c r="G46" s="7">
        <f>+E46*F46</f>
        <v>30</v>
      </c>
    </row>
    <row r="47" spans="1:20" ht="34.5" customHeight="1" x14ac:dyDescent="0.25">
      <c r="A47" s="9" t="s">
        <v>24</v>
      </c>
      <c r="B47" s="11">
        <f>IF(B45&lt;B46,B46-B45,0)</f>
        <v>20</v>
      </c>
      <c r="C47" s="12"/>
      <c r="E47" s="5">
        <v>5</v>
      </c>
      <c r="F47" s="6">
        <v>4</v>
      </c>
      <c r="G47" s="7">
        <f>+E47*F47</f>
        <v>20</v>
      </c>
    </row>
    <row r="48" spans="1:20" ht="36.75" customHeight="1" x14ac:dyDescent="0.25">
      <c r="A48" s="9" t="s">
        <v>7</v>
      </c>
      <c r="B48" s="11">
        <f>IF(B45&gt;B46,B45-B46,0)</f>
        <v>0</v>
      </c>
      <c r="C48" s="12"/>
      <c r="E48" s="5">
        <v>1</v>
      </c>
      <c r="F48" s="6">
        <v>3</v>
      </c>
      <c r="G48" s="7">
        <f>+E48*F48</f>
        <v>3</v>
      </c>
    </row>
    <row r="49" spans="1:7" ht="30" customHeight="1" thickBot="1" x14ac:dyDescent="0.35">
      <c r="A49" s="10" t="s">
        <v>29</v>
      </c>
      <c r="B49" s="13" t="b">
        <f>B45=B46</f>
        <v>0</v>
      </c>
      <c r="C49" s="14"/>
      <c r="E49" s="159" t="s">
        <v>25</v>
      </c>
      <c r="F49" s="160"/>
      <c r="G49" s="8">
        <f>SUM(G42:G48)</f>
        <v>1113</v>
      </c>
    </row>
    <row r="50" spans="1:7" ht="15.75" thickTop="1" x14ac:dyDescent="0.25"/>
  </sheetData>
  <mergeCells count="3">
    <mergeCell ref="E49:F49"/>
    <mergeCell ref="E2:L2"/>
    <mergeCell ref="A39:C39"/>
  </mergeCells>
  <printOptions horizontalCentered="1" verticalCentered="1"/>
  <pageMargins left="0" right="0" top="0" bottom="0" header="0.3" footer="0.3"/>
  <pageSetup paperSize="9" scale="42" orientation="landscape" blackAndWhite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38</vt:i4>
      </vt:variant>
      <vt:variant>
        <vt:lpstr>Named Ranges</vt:lpstr>
      </vt:variant>
      <vt:variant>
        <vt:i4>1</vt:i4>
      </vt:variant>
    </vt:vector>
  </HeadingPairs>
  <TitlesOfParts>
    <vt:vector size="39" baseType="lpstr">
      <vt:lpstr>سلف العاملين بالمحل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الاجمالى</vt:lpstr>
      <vt:lpstr>اجل الجمعية </vt:lpstr>
      <vt:lpstr>مبيعات الطواجن </vt:lpstr>
      <vt:lpstr>مشتريات </vt:lpstr>
      <vt:lpstr>مودرين </vt:lpstr>
      <vt:lpstr>طماطم</vt:lpstr>
      <vt:lpstr>'7'!Print_Area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2023-07-10T21:50:05Z</dcterms:modified>
</cp:coreProperties>
</file>